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0290" windowHeight="9120" tabRatio="788" firstSheet="1" activeTab="2"/>
  </bookViews>
  <sheets>
    <sheet name="CDKT TOM LUOC-NOPCHUNG KHOAN OK" sheetId="1" r:id="rId1"/>
    <sheet name="KQKD TOM LUOC -NOP CHUNG KHOAN" sheetId="2" r:id="rId2"/>
    <sheet name="KQKDok" sheetId="3" r:id="rId3"/>
    <sheet name="CDKT-page3" sheetId="4" r:id="rId4"/>
    <sheet name="CDKT-page1-2 ok" sheetId="5" r:id="rId5"/>
    <sheet name="KET QUA KINH DOANH DAY DU (2)" sheetId="6" state="hidden" r:id="rId6"/>
    <sheet name="CD SDTK TH" sheetId="7" r:id="rId7"/>
    <sheet name="TMBCTC 1-4" sheetId="8" r:id="rId8"/>
    <sheet name="TMBCTC 5" sheetId="9" r:id="rId9"/>
    <sheet name="TMBCTC 6" sheetId="10" r:id="rId10"/>
    <sheet name="TMBCTC 7" sheetId="11" r:id="rId11"/>
    <sheet name="TMBCTC 8" sheetId="12" r:id="rId12"/>
    <sheet name="LCTT DAY DU" sheetId="13" r:id="rId13"/>
    <sheet name="LCTT TOM LUOC" sheetId="14" r:id="rId14"/>
  </sheets>
  <externalReferences>
    <externalReference r:id="rId17"/>
    <externalReference r:id="rId18"/>
    <externalReference r:id="rId19"/>
  </externalReferences>
  <definedNames>
    <definedName name="_xlnm.Print_Titles" localSheetId="6">'CD SDTK TH'!$7:$8</definedName>
    <definedName name="_xlnm.Print_Titles" localSheetId="4">'CDKT-page1-2 ok'!$11:$12</definedName>
  </definedNames>
  <calcPr fullCalcOnLoad="1"/>
</workbook>
</file>

<file path=xl/comments13.xml><?xml version="1.0" encoding="utf-8"?>
<comments xmlns="http://schemas.openxmlformats.org/spreadsheetml/2006/main">
  <authors>
    <author>thehieu</author>
  </authors>
  <commentList>
    <comment ref="D18" authorId="0">
      <text>
        <r>
          <rPr>
            <b/>
            <sz val="8"/>
            <rFont val="Tahoma"/>
            <family val="0"/>
          </rPr>
          <t xml:space="preserve">chua bao gom thue gtgt khi ban tscd
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chua bao gom cp lai vay tren 335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<sst xmlns="http://schemas.openxmlformats.org/spreadsheetml/2006/main" count="1146" uniqueCount="767">
  <si>
    <t>Ngöôøi laäp bieåu                                    Keá toaùn tröôûng</t>
  </si>
  <si>
    <t xml:space="preserve">   - Nguyeân taéc ñaùnh giaù: haøng toàn kho ghi nhaän theo giaù goác</t>
  </si>
  <si>
    <t xml:space="preserve">   - Phöông phaùp xaùc ñònh giaù trò haøng toàn kho: Giaù bình quaân giaù quyeàn</t>
  </si>
  <si>
    <t xml:space="preserve">   - Phöông phaùp haïch toaùn  haøng toàn kho: keâ khai thöôøng xuyeân</t>
  </si>
  <si>
    <t>+ Hoa hoàng ñôn haøng Josef ( 12,820.85 usd)</t>
  </si>
  <si>
    <t>+ Hoa hoàng ñôn haøng Decathlon ( 4,4748.00 usd)</t>
  </si>
  <si>
    <t xml:space="preserve">3. Phöông phaùp keá toaùn taøi saûn coá ñònh vaø baát ñoäng saûn ñaàu tö: </t>
  </si>
  <si>
    <t xml:space="preserve">   - Nguyeân taéc ñaùnh giaù taøi saûn coá ñònh vaø baát ñoäng saûn ñaàu tö : theo nguyeân giaù tröø giaù trò hao moøn luõy keá</t>
  </si>
  <si>
    <t xml:space="preserve">   - Phöông phaùp khaáu hao aùp duïng: ñöôûng thaúng</t>
  </si>
  <si>
    <t>Thueá GTGT ñaàu vaøo</t>
  </si>
  <si>
    <t>VNÑ göûi taïi Ngaân haøng</t>
  </si>
  <si>
    <t>USD göûi taïi Ngaân haøng</t>
  </si>
  <si>
    <t>Coäng tieàn göûi Ngaân haøng</t>
  </si>
  <si>
    <t>Taïm öùng</t>
  </si>
  <si>
    <t>Nguyeân vaät lieäu chính</t>
  </si>
  <si>
    <t>Phuï lieäu</t>
  </si>
  <si>
    <t>Phuï tuøng thay theá, Nhieân lieäu</t>
  </si>
  <si>
    <t>Bao bì luaân chuyeån</t>
  </si>
  <si>
    <t>Coâng cu, duïng cuïï - Bao bì luaân chuyeån</t>
  </si>
  <si>
    <t>Coâng cuï, duïng cuï</t>
  </si>
  <si>
    <t>Chi phí sx, kd dôû dang</t>
  </si>
  <si>
    <t>Thaønh phaåm</t>
  </si>
  <si>
    <t>Thueá GTGT ñaàu ra</t>
  </si>
  <si>
    <t>Phaûi traû khaùc</t>
  </si>
  <si>
    <t>BHXH,&amp; 2% BHYT</t>
  </si>
  <si>
    <t>Doanh thu noäi ñòa</t>
  </si>
  <si>
    <t>Doanh thu xuaát khaåu</t>
  </si>
  <si>
    <t>Coäng doanh thu</t>
  </si>
  <si>
    <t>Chi phí saûn xuaát chung</t>
  </si>
  <si>
    <t>Coäng Vay ngaén haïn</t>
  </si>
  <si>
    <t>4. Nguyeân taéc ghi nhaän caùc khoaûn ñaàu tö taøi chính:</t>
  </si>
  <si>
    <t xml:space="preserve">- Caùc khoaûn ñaàu tö vaøo coâng ty lieân keát , caùc khoaûn ñaàu tö ngaén haïn : ñöôïc ñaùnh giaù moät caùch chính xaùc vaø ñöôïc xaùc ñòïnh moät caùch </t>
  </si>
  <si>
    <t>ñaùng tin caäy</t>
  </si>
  <si>
    <t>5. Nguyeân taéc ghi nhaän chi phí traû tröôùc :</t>
  </si>
  <si>
    <t>Chi phí coù lieân quan ñeán nhieàu nieân ñoä keá toaùn ñöôïc ghi nh6aïn taïi thôøi ñieåm coù baèng chöùng chaéc chaéc veà söï phaùt sinh chi phí vaø</t>
  </si>
  <si>
    <t xml:space="preserve"> ñöôïc keát chuyeån vaøo caùc nieân ñoä lieân quan</t>
  </si>
  <si>
    <t>6.Nguyeân taéc ghi nhaän chi phí phaûi traû</t>
  </si>
  <si>
    <t xml:space="preserve">Chi phí ñöôïc ghi nhaän taïi thôøi ñieåm coù baèng chöùng phaùt sinh chi phí nhöng chöa chi tieàn </t>
  </si>
  <si>
    <t xml:space="preserve">7. Nguyeân taèc ghi nhaän doanh thu : </t>
  </si>
  <si>
    <t xml:space="preserve">Doanh  thu baùn haøng ñöôïc ghi nhaän khi phaàn lôùn ruûi ro vaø lôïi ích gaén lieàn vôùi quyeàn sôû höõu haøng hoaù ñaõ chuyeån giao cho ngöôøi mua  </t>
  </si>
  <si>
    <t xml:space="preserve">vaø coù söï ñaûm bao nhaän ñöôïc lôïi ích kinh teá töø vieäc baùn haøng </t>
  </si>
  <si>
    <t>V.THOÂNG TIN BOÅ SUNG CHO CAÙC KHOAÛN MUÏC TRÌNH BAØY TRONG BAÛNG CAÂN ÑOÁI KEÁ TOAÙN VAÙ BAÙO CAÙO KEÁT QUAÛ</t>
  </si>
  <si>
    <t xml:space="preserve"> HOAÏT ÑOÄNG KINH DOANH</t>
  </si>
  <si>
    <t>1.Tieàn vaø caùc khoaûn töông ñöông tieàn :</t>
  </si>
  <si>
    <t xml:space="preserve">Naêm nay </t>
  </si>
  <si>
    <t>USD</t>
  </si>
  <si>
    <t>VNÑ</t>
  </si>
  <si>
    <t xml:space="preserve"> - Tieàn maët:</t>
  </si>
  <si>
    <t xml:space="preserve"> - Tieàn göûi ngaân haøng:</t>
  </si>
  <si>
    <t>Coäng:</t>
  </si>
  <si>
    <t>2. Caùc khoaûn ñaàu tö taøi chính ngaén haïn</t>
  </si>
  <si>
    <t>- Mua traùi phieáu chính phuû</t>
  </si>
  <si>
    <t>3. Caùc khoaûn phaûi thu ngaén haïn khaùc</t>
  </si>
  <si>
    <t>Naâng baäc thôï may</t>
  </si>
  <si>
    <t>Nguyeãn Hoaøng Giang</t>
  </si>
  <si>
    <t>Coå phieáu traû chaäm</t>
  </si>
  <si>
    <t>Tieàn kyù quyõ môû taøi khoaûn theû ATM cuûa coâng nhaân</t>
  </si>
  <si>
    <t>Tieàn coâng nhaân möôïn</t>
  </si>
  <si>
    <t>Tieát Vaên Hoäi</t>
  </si>
  <si>
    <t>4. Haøng toàn kho :</t>
  </si>
  <si>
    <t xml:space="preserve"> - Nguyeân lieäu, vaät lieäu:</t>
  </si>
  <si>
    <t xml:space="preserve"> - Coâng cuï, duïng cuï: </t>
  </si>
  <si>
    <t xml:space="preserve"> - Chi phí saûn xuaát kinh doanh dôû dang:</t>
  </si>
  <si>
    <t xml:space="preserve"> - Thaønh phaåm:</t>
  </si>
  <si>
    <t xml:space="preserve"> - Haøng cho caùc ñôn vò khaùc gia coâng laïi</t>
  </si>
  <si>
    <t>Coäng giaù goác haøng toàn kho:</t>
  </si>
  <si>
    <t>5.Thueá vaø caùc khoaûn phaûi thu Nhaø Nöôùc :</t>
  </si>
  <si>
    <t xml:space="preserve"> - Thueá thu nhaäp doanh nghieäp noäp thöøa</t>
  </si>
  <si>
    <t xml:space="preserve"> - Caùc khoaûn thueá noäp thöøa cho Nhaø Nöôùc :</t>
  </si>
  <si>
    <t>+ Thueá thu nhaäp caù nhaân:</t>
  </si>
  <si>
    <t xml:space="preserve">6.Phaûi thu daøi haïn noäi boä </t>
  </si>
  <si>
    <t>7. Phaûi thu dài hạn khác</t>
  </si>
  <si>
    <t>+ Thueâ nhaø leâ Minh Xuaân  ( 15,727.63 usd)</t>
  </si>
  <si>
    <t>+  Ñaët coïc  nhaø göûi xe cho coâng nhaân Taân Phuù</t>
  </si>
  <si>
    <t>+ Kyù quyõ ñieän thoaïi</t>
  </si>
  <si>
    <t>+ Kyù quyõ taxi</t>
  </si>
  <si>
    <t>8. Taêng giaûm taøi saûn coá ñònh höõu hình:</t>
  </si>
  <si>
    <t xml:space="preserve">Khoaûn muïc </t>
  </si>
  <si>
    <t>Nhaø cöûa</t>
  </si>
  <si>
    <t>MMTB</t>
  </si>
  <si>
    <t>PTVT</t>
  </si>
  <si>
    <t>TBDC quaûn lyù</t>
  </si>
  <si>
    <t>Toång coäng</t>
  </si>
  <si>
    <t xml:space="preserve"> Nguyeân giaù TSCÑ höõu hình:</t>
  </si>
  <si>
    <t xml:space="preserve"> - Soá dö ñaàu naêm</t>
  </si>
  <si>
    <t xml:space="preserve"> - Mua trong naêm </t>
  </si>
  <si>
    <t xml:space="preserve"> - Ñaàu tö XDCB hoaøn thaønh</t>
  </si>
  <si>
    <t xml:space="preserve"> - Thanh lyù nhöôïng baùn</t>
  </si>
  <si>
    <t xml:space="preserve"> -  Soá dö cuoái naêm</t>
  </si>
  <si>
    <t xml:space="preserve"> Gía trò hao moøn luõy keá</t>
  </si>
  <si>
    <t xml:space="preserve"> - Soá dö ñaàu naêm:</t>
  </si>
  <si>
    <t xml:space="preserve"> - Khaáu hao trong naêm</t>
  </si>
  <si>
    <t xml:space="preserve"> - Soá dö cuoái naêm</t>
  </si>
  <si>
    <t xml:space="preserve"> Gía trò coøn laïi:</t>
  </si>
  <si>
    <t xml:space="preserve"> - Taïi ngaøy ñaàu naêm</t>
  </si>
  <si>
    <t xml:space="preserve"> - Taïi ngaøy cuoái naêm</t>
  </si>
  <si>
    <t>* Giaù trò coøn laïi cuoái naêm cuûa TSCÑ höõu hình ñaõ duøng theá chaáp, caàm coá caùc khoaûn vay:</t>
  </si>
  <si>
    <t>* Nguyeân giaù TSCÑ cuoái naêm ñaõ khaáu hao heát nhöng vaàn coøn söû duïng:</t>
  </si>
  <si>
    <t>9. Taêng, giaûm TSCÑ thueâ taøi chính : khoâng coù</t>
  </si>
  <si>
    <t>10. Taêng, giaûm  TSCÑ voâ hình:</t>
  </si>
  <si>
    <t>Khoaûn muïc</t>
  </si>
  <si>
    <t xml:space="preserve">Quyeàn söû </t>
  </si>
  <si>
    <t>Baøn quyeàn</t>
  </si>
  <si>
    <t>Nhaõn hieäu</t>
  </si>
  <si>
    <t xml:space="preserve">Phaàn meàm </t>
  </si>
  <si>
    <t>duïng ñaát</t>
  </si>
  <si>
    <t xml:space="preserve"> baèng</t>
  </si>
  <si>
    <t>haøng hoaù</t>
  </si>
  <si>
    <t xml:space="preserve"> maùy vi tính</t>
  </si>
  <si>
    <t>saùng cheá</t>
  </si>
  <si>
    <t xml:space="preserve"> Nguyeân giaù TSCÑ voâ hình</t>
  </si>
  <si>
    <t xml:space="preserve"> - Taêng do hôïp nhaát kinh doanh</t>
  </si>
  <si>
    <t xml:space="preserve"> Giaù trò hao moøn luõy keá</t>
  </si>
  <si>
    <t>11. Chi phí xaây döïng cô baûn  dôû dang:</t>
  </si>
  <si>
    <t xml:space="preserve">12.Taêng giaûm baát ñoäng saûn ñaàu tö:  </t>
  </si>
  <si>
    <t>13. Caùc khoaûn ñaàu tö taøi chính daøi haïn:</t>
  </si>
  <si>
    <t>- Ñaàu tö daøi haïn khaùc</t>
  </si>
  <si>
    <t>14- Chi phí traû tröôùc daøi haïn</t>
  </si>
  <si>
    <t>- Söõa chöõa lôùn chôø phaân boå Taân Phuù ( Hongarmex ñöa qua)</t>
  </si>
  <si>
    <t xml:space="preserve"> - Phaân boå daàn coâng cuï lao ñoäng mua töø LD hongarmex</t>
  </si>
  <si>
    <t xml:space="preserve"> -Thöôûng chôø phaân boå ( LD hongarmex)</t>
  </si>
  <si>
    <t xml:space="preserve"> - Phaân boå daàn coâng cuï lao ñoäng cuûa coâng ty</t>
  </si>
  <si>
    <t xml:space="preserve"> - Phaân boå daàn coâng cuï lao ñoäng cuûa An Nhôn</t>
  </si>
  <si>
    <t>- Coâng cuï vaø söõa chöõa  cuûa An Phuù</t>
  </si>
  <si>
    <t>15-Caùc khoaûn vay vaø nôï ngaén haïn</t>
  </si>
  <si>
    <t xml:space="preserve"> - Vay ngaén haïn</t>
  </si>
  <si>
    <t>- Vay ngắn hạn USD</t>
  </si>
  <si>
    <t>+ NHNTHCM</t>
  </si>
  <si>
    <t>+ NHĐT &amp; PTVN</t>
  </si>
  <si>
    <t>Tạm đoùng thueá nguyeân phuï lieäu thöøa</t>
  </si>
  <si>
    <t xml:space="preserve"> - Mua, ñoùng trong naêm </t>
  </si>
  <si>
    <t>Mua coå phaàn Ngaân Haøng TM Coå phaàn Vieät AÙ</t>
  </si>
  <si>
    <t>Mua coå phaàn Ngaân Haøng Ngoïai Thöông Vieät Nam</t>
  </si>
  <si>
    <t xml:space="preserve"> - Söõa chöõa lôùn chôø phaân boå cuûa coâng ty </t>
  </si>
  <si>
    <t xml:space="preserve"> - Chi phí phaûi traû khaùc ( Trích tröôùc tieàn xe cho coâng nhaân)</t>
  </si>
  <si>
    <t>- Chi phí phaûi traû haøng FOB (chi phí hoa hoàng)</t>
  </si>
  <si>
    <t xml:space="preserve">- Chi phí thanh lyù </t>
  </si>
  <si>
    <t>16-Thueá vaø caùc khoaûn phaûi noäp Nhaø Nöôùc</t>
  </si>
  <si>
    <t xml:space="preserve"> - Thu treân voán </t>
  </si>
  <si>
    <t>Chi thuø lao hoäi ñoàng quaûn trò</t>
  </si>
  <si>
    <t>Hoùa ñôn 16592-25/08/07 : thanh lyù quaït huùt</t>
  </si>
  <si>
    <t>Hoùa ñôn 60363-25/10/07 : thanh lyù maùy caùc loaïi</t>
  </si>
  <si>
    <t>Coäng</t>
  </si>
  <si>
    <t>( Toång soá thueá thu nhaäp phaøi noäp:</t>
  </si>
  <si>
    <t>Soá thueá thu nhaäp Hongarmex chuyeån qua</t>
  </si>
  <si>
    <t xml:space="preserve">Coâng ty ñaõ noäp </t>
  </si>
  <si>
    <t>Soá thueá thu nhaäp ñöôïc giaûm</t>
  </si>
  <si>
    <t>Soá thueá thu nhaäp coøn phaûi noäp</t>
  </si>
  <si>
    <t>)</t>
  </si>
  <si>
    <t>17- Chi phí phaûi traû</t>
  </si>
  <si>
    <t>Coäng chi phí phaûi traû :</t>
  </si>
  <si>
    <t>18- Caùc khoaûn phaûi traû phaûi noäp khaùc</t>
  </si>
  <si>
    <t>+ Baûo hieåm y teá &amp; BHXH töø honager chuyeån qua</t>
  </si>
  <si>
    <t xml:space="preserve">+ Baûo hieåm y teá &amp; BHXH </t>
  </si>
  <si>
    <t>+ Kinh phí coâng ñoaøn</t>
  </si>
  <si>
    <t>+ Phaûi noäp ngaân saùch nhaø nöôùc</t>
  </si>
  <si>
    <t>+ YeeTung Co.,LTD öùng tröôùc tieàn haøng</t>
  </si>
  <si>
    <t>+ Thu tröôùc tieàn haøng cuûa A.Laäp</t>
  </si>
  <si>
    <t>+ Thu tieàn NIT phaït F/line</t>
  </si>
  <si>
    <t>Coäng Caùc khoaûn phaûi traû phaûi noäp khaùc</t>
  </si>
  <si>
    <t>19-Phaûi traû daøi haïn noäi boä :</t>
  </si>
  <si>
    <t>20- Caùc khoaûn vay daøi haïn</t>
  </si>
  <si>
    <t xml:space="preserve"> - Vay ngaân haøng NTHCM</t>
  </si>
  <si>
    <t xml:space="preserve"> - Vay ngaân haøng ÑT &amp; PTVN</t>
  </si>
  <si>
    <t>+ Vay trung haïn</t>
  </si>
  <si>
    <t>+ Vay daøi haïn</t>
  </si>
  <si>
    <t>Coäng  vay daøi haïn</t>
  </si>
  <si>
    <t>21.Taøi saûn thueá thu nhaäp hoaõn laïi vaø thueá thu nhaäp hoaõn laïi phaûi traû</t>
  </si>
  <si>
    <t>Töø ngaøy 01/01/2007 ñeán 31/12/2007</t>
  </si>
  <si>
    <t>Vaät tö, haøng hoaù nhaän giöõ hoä, nhaän gia coâng(TG:16.000$/vnd)</t>
  </si>
  <si>
    <t xml:space="preserve">  -Phaân boå CCDC VP naêm 2007</t>
  </si>
  <si>
    <t>- Vay ngắn hạn VNÑ</t>
  </si>
  <si>
    <t>22- Voán chuû sôû höõu</t>
  </si>
  <si>
    <t>a-Baûng ñoái chieáu bieán ñoäng cuûa Voán chuû sôû höõu</t>
  </si>
  <si>
    <t>Chi tieát</t>
  </si>
  <si>
    <t>Voán goùp</t>
  </si>
  <si>
    <t>Quyõ khaùc thuoäc voán chuû sôû höõu</t>
  </si>
  <si>
    <t>Lôïi nhuaän sau thueá chöa phaân phoái</t>
  </si>
  <si>
    <t>Soá dö ñaàu naêm  tröôùc</t>
  </si>
  <si>
    <t>Ñaõ chi quyõ khen thöôûng trong naêm</t>
  </si>
  <si>
    <t>Chi Thuø lao hoäi ñoàng quaûn trò</t>
  </si>
  <si>
    <t xml:space="preserve">Chia coå töùc naêm </t>
  </si>
  <si>
    <t>Soá dö cuoái naêm tröùôc</t>
  </si>
  <si>
    <t>=================================================================================================================================</t>
  </si>
  <si>
    <t>Soá dö ñaàu naêm  nay</t>
  </si>
  <si>
    <t xml:space="preserve">Taêng voán trong naêm </t>
  </si>
  <si>
    <t xml:space="preserve">Lôïi nhuaän taêng trong naêm </t>
  </si>
  <si>
    <t>Lôïi nhuaän 2005 trích laäp quyõ</t>
  </si>
  <si>
    <t>Lôïi nhuaän 2006 trích laäp quyõ</t>
  </si>
  <si>
    <t>Taêng töø thueá thu nhaäp ñöôïc mieãn, giaûm 2006</t>
  </si>
  <si>
    <t>Chia coå phieáu thöôûng</t>
  </si>
  <si>
    <t>Taêng töø chi thuø lao hoäi ñoàng quaûn trò coøn dö</t>
  </si>
  <si>
    <t>Taêng töø chia coå töùc CN nghæ vieäc khoâng nhaän naêm 2005</t>
  </si>
  <si>
    <t>Soá dö cuoái naêm nay</t>
  </si>
  <si>
    <t>- Chi phí phaûi traû haøng CMP</t>
  </si>
  <si>
    <t>b- Chi tieát voán ñaàu tö cuûa chuû sôû höõu</t>
  </si>
  <si>
    <t>Toång soá</t>
  </si>
  <si>
    <t>Voán coå phaàn thöôøng</t>
  </si>
  <si>
    <t>Voán coå phaàn öu ñaõi</t>
  </si>
  <si>
    <t>Voán ñaàu tö cuûa Nhaø nöôùc</t>
  </si>
  <si>
    <t>Voán goùp ( coå ñoâng, thaønh vieân)</t>
  </si>
  <si>
    <t>* Giaù trò traùi phieáu ñaõ chuyeån thaønh coå phieáu trong naêm</t>
  </si>
  <si>
    <t>c- Caùc giao dòch veà voán vôùi caùc chuû sôû höõu vaø phaân phoái coå töùc, lôïi nhuaän</t>
  </si>
  <si>
    <t>- Voán ñaàu tö cuûa chuû sôû höõu</t>
  </si>
  <si>
    <t>+ Voán goùp ñaàu  naêm</t>
  </si>
  <si>
    <t>+ Voán goùp taêng trong naêm</t>
  </si>
  <si>
    <t>+ Voán goùp giaûm naêm</t>
  </si>
  <si>
    <t>+ Voán goùp cuoái naêm</t>
  </si>
  <si>
    <t>- Coå töùc lôïi nhuaän ñaõ chia</t>
  </si>
  <si>
    <t>d- Coå töùc</t>
  </si>
  <si>
    <t>-  Coå töùc ñaõ coâng boá sau ngaøy keát thuùc nieân ñoä keá toaùn:</t>
  </si>
  <si>
    <t>+ Coà töùc ñaõ coâng boá treân coå phieáu thöôøng:</t>
  </si>
  <si>
    <t xml:space="preserve">+ Coå töùc ñaõ coâng boá treân coå phieáu öu ñaõi </t>
  </si>
  <si>
    <t>-  Coå töùc coå phieáu öu ñaõi chöa ñöôïc ghi nhaän :</t>
  </si>
  <si>
    <t>ñ- Coå phieáu:</t>
  </si>
  <si>
    <t xml:space="preserve">- Soá löôïng coå phieáu ñöôïc pheùp phaùt haønh </t>
  </si>
  <si>
    <t>- Soá löôïng coå phieáu ñaõ ñöôïc phaùt haønh vaø goùp voán ñaày ñuû</t>
  </si>
  <si>
    <t>+ Coå phieáu thöôøng</t>
  </si>
  <si>
    <t>+ Coå phieáu öu ñaõi</t>
  </si>
  <si>
    <t>- Soá löông coå phieáu ñöôïc mua laïi</t>
  </si>
  <si>
    <t>- Soá löông coå phieáu ñang löu haønh</t>
  </si>
  <si>
    <t>* Meänh gía coå phieáu:</t>
  </si>
  <si>
    <t>e- Quyõ khaùc thuoäc voán chuû sôõ höõu</t>
  </si>
  <si>
    <t>- Quyõ ñaàu tö phaùt trieån</t>
  </si>
  <si>
    <t>- Quyõ döï phoøng taøi chính</t>
  </si>
  <si>
    <t>*  Muïc ñích trích laäp quyõ ñaâu tö phaùt trieån, quyõ döï phoøng taøi chính vaø quyõ khaùc thuoäc  voán chuû sôõ höõu</t>
  </si>
  <si>
    <t xml:space="preserve">g- Thu nhaäp vaø chi phí, laõi hoaëc loã ñöôïc haïch toaùn tröïc tieáp vaøo voán chuû sôõ höõu theo qui ñònh cuûa caùc chuaån möïc </t>
  </si>
  <si>
    <t>keá toaùn</t>
  </si>
  <si>
    <t>23- Nguoàn kinh phí</t>
  </si>
  <si>
    <t xml:space="preserve">Naêm Nay </t>
  </si>
  <si>
    <t>- Nguoàn Kinh phí ñöôïc caáp trong naêm</t>
  </si>
  <si>
    <t>- Chi söï nghieäp</t>
  </si>
  <si>
    <t>- Nguoàn Kinh phí coøn laâi cuoái kyø</t>
  </si>
  <si>
    <t>24-Taøi saûn thueâ ngoaøi</t>
  </si>
  <si>
    <t>VI- Thoâng tin boå sung cho caùc khoaûn muïc trình baøy trong Baùo caùo keát quaû hoaït ñoäng kinh doanh</t>
  </si>
  <si>
    <t>25 - Toång doanh thu</t>
  </si>
  <si>
    <t>+ Doanh thu baùn haøng</t>
  </si>
  <si>
    <t xml:space="preserve">+ Doanh thu cung caáp dòch vuï </t>
  </si>
  <si>
    <t>26 - Caùc khoaûn giaûm tröø ( 04+05+06+07)</t>
  </si>
  <si>
    <t xml:space="preserve">   + Chieát khaáu</t>
  </si>
  <si>
    <t xml:space="preserve">   + Giaûm giaù</t>
  </si>
  <si>
    <t xml:space="preserve">27- Doanh thu thuaàn </t>
  </si>
  <si>
    <t>Trong ñoù   + Doanh thu baùn haøng</t>
  </si>
  <si>
    <t xml:space="preserve">                 + Doanh thu cung caáp dòch vuï </t>
  </si>
  <si>
    <t>28-Giaù voán haøng baùn</t>
  </si>
  <si>
    <t>- Giaù voán dòch vuï ñaõ cung caáp</t>
  </si>
  <si>
    <t>29- Doanh thu hoaït ñoäng taøi chính</t>
  </si>
  <si>
    <t>- Laõi tieàn göûi, tieàn cho vay</t>
  </si>
  <si>
    <t>- Laõi coå töùc, traùi phieáu, kyø phieáu, tín phieáu</t>
  </si>
  <si>
    <t>- Laõi baùn ngoaïi teä</t>
  </si>
  <si>
    <t>- Laõi cheânh leäch tyû giaù</t>
  </si>
  <si>
    <t>- Doanh thu hoaït ñoäng taøi chính khaùc</t>
  </si>
  <si>
    <t>Quùy2/2007</t>
  </si>
  <si>
    <t>Tp.Hoà Chí Minh, ngaøy 16 thaùng 07 naêm 2007</t>
  </si>
  <si>
    <t>Tieàn maët taïi quõy</t>
  </si>
  <si>
    <t>Chi phí chôø keát chuyeån</t>
  </si>
  <si>
    <t>Phaûi thu khaùc</t>
  </si>
  <si>
    <t>Tieàn ñang chuyeån</t>
  </si>
  <si>
    <t>30- Chi phí taøi chính</t>
  </si>
  <si>
    <t>- Laõi tieàn vay</t>
  </si>
  <si>
    <t>( Toång soá tieàn coâng ty ñaõ phaûi traû laõi vay:</t>
  </si>
  <si>
    <t xml:space="preserve">Soá tieàn ñöôïc hoaøn laõi vay kích caàu </t>
  </si>
  <si>
    <t>Do ñoù soá tieàn laõi vay coâng ty tính chi phí trong naêm</t>
  </si>
  <si>
    <t>- Loã cheânh leäch tyû giaù ñaõ thöïc hieän</t>
  </si>
  <si>
    <t>- Chi phí hoaït ñoäng taøi chính khaùc</t>
  </si>
  <si>
    <t>31- Chi phí thueá thu nhaäp hieän haønh</t>
  </si>
  <si>
    <t>- Chi phí thueá thu nhaäp doanh nghieäp tính treân thu nhaäp chòu thueá naêm hieän haønh</t>
  </si>
  <si>
    <t xml:space="preserve">- Ñieàu chænh thueá thu nhaäp hieän haønh naêm tröôùc tính vaøo chi phí thueá thu nhaäp </t>
  </si>
  <si>
    <t>hieän haønh naêm nay</t>
  </si>
  <si>
    <t>- Toång chi phí thueá thu nhaäp hieän haønh</t>
  </si>
  <si>
    <t xml:space="preserve">32- Chi phí thueá thu nhaäp doanh nghieäp hoaõn laïi </t>
  </si>
  <si>
    <t xml:space="preserve">33- Chi phí saûn xuaát kinh doanh theo yeáu toá </t>
  </si>
  <si>
    <t>- Nguyeân lieäu</t>
  </si>
  <si>
    <t>-  Phuï lieäu, nhieân lieäu</t>
  </si>
  <si>
    <t>- Phuï tuøng thay theá</t>
  </si>
  <si>
    <t>- Hoaù chaát</t>
  </si>
  <si>
    <t>- Coâng cuï</t>
  </si>
  <si>
    <t>- Bao bì</t>
  </si>
  <si>
    <t>- Chi phí nhaân coâng</t>
  </si>
  <si>
    <t>-Chi phí khaáu hao taøi saûn coá ñònh</t>
  </si>
  <si>
    <t>- Chi phí dòch vuï mua ngoaøi</t>
  </si>
  <si>
    <t>-Chi phí baèng tieàn khaùc</t>
  </si>
  <si>
    <t>VII- Thoâng tin boå sung cho caùc khoaûn muïc trình baøy trong baùo caùo Löu chuyeån tieàn teä</t>
  </si>
  <si>
    <t xml:space="preserve">   + Haøng baùn bò traû laïi</t>
  </si>
  <si>
    <t>- Giaù voán thaønh phaåm, ñaõ cung caáp</t>
  </si>
  <si>
    <t>VII. Nhöõng thoâng tin khaùc:</t>
  </si>
  <si>
    <t>1.-Nhöõng khoaûn nôï tieàm taøng, khoaûn cam keát vaø nhöõng thoâng tin khaùc</t>
  </si>
  <si>
    <t>2.-Thoâng tin so saùnh</t>
  </si>
  <si>
    <t>3-Nhöõng thoâng tin khaùc</t>
  </si>
  <si>
    <t>Ngöôøi laäp bieåu</t>
  </si>
  <si>
    <t>Keá toaùn tröôûng</t>
  </si>
  <si>
    <t>Thueá VAT khoâng ñöôïc hoaøn</t>
  </si>
  <si>
    <t xml:space="preserve">         Trong ñoù Doanh thu Xuaát khaåu</t>
  </si>
  <si>
    <t xml:space="preserve">- Coå töùc lôïi nhuaän cuûa Quaän 8 ñöôïc chia </t>
  </si>
  <si>
    <t>BAÛNG CAÂN ÑOÁI KEÁ TOAÙN GIÖÕA NIEÂN ÑOÄ</t>
  </si>
  <si>
    <t>(DAÏNG ÑAÀY ÑUÛ )</t>
  </si>
  <si>
    <t xml:space="preserve"> Ngöôøi laäp bieåu                                                     </t>
  </si>
  <si>
    <t xml:space="preserve">Toång Giaùm Ñoác </t>
  </si>
  <si>
    <t>Keá Toaùn Tröôûng</t>
  </si>
  <si>
    <t>- Thieát keá cô sôû XN May Taân Myõ (HÑ soá 01/HÑKT-18/01/07 Hñôn</t>
  </si>
  <si>
    <t>48676-28/11/07)</t>
  </si>
  <si>
    <t>COÂNG TY COÅ PHAÀN SX-TM MAY SAØI GOØN</t>
  </si>
  <si>
    <t>236/7 Nguyeãn Vaên Löôïng P17,Q.Goø Vaáp</t>
  </si>
  <si>
    <t>BAÛNG CAÂN ÑOÁI SOÁ DÖ TAØI KHOAÛN</t>
  </si>
  <si>
    <t xml:space="preserve">       Toång Giaùm Ñoác</t>
  </si>
  <si>
    <t>Ñaëng Ñaøi Trang                                               Nguyeãn Thò Chính</t>
  </si>
  <si>
    <t xml:space="preserve">    Nguyeãn AÂn</t>
  </si>
  <si>
    <t>Taêng voán trong naêm nay</t>
  </si>
  <si>
    <t xml:space="preserve">Lôïi nhuaän taêng naêm </t>
  </si>
  <si>
    <t>Lôïi nhuaän 2007 trích laäp quyõ</t>
  </si>
  <si>
    <t>KEÁT QUAÛ HOAÏT ÑOÄNG KINH DOANH GIỮA NIEÂN ÑOÄ</t>
  </si>
  <si>
    <t>Xaây döïng cô baûn cho xí nghiệp tại cuïm CN Haéc Dòch</t>
  </si>
  <si>
    <t>Chi phí xaây döïng cô baûn dôû dang cho XN tại cụm Hắc Dịch</t>
  </si>
  <si>
    <t>Ngöôøi laäp bieåu                                                   Keá Toaùn Tröôûng</t>
  </si>
  <si>
    <t>Taêng töø thueá thu nhaäp ñöôïc mieãn, giaûm 2007</t>
  </si>
  <si>
    <t xml:space="preserve">        Nguyeãn Aân</t>
  </si>
  <si>
    <t xml:space="preserve"> Ngöôøi laäp bieåu                                                                                  Kế toán trưởng                                                </t>
  </si>
  <si>
    <t>4</t>
  </si>
  <si>
    <t>Caùc khoaûn phaûi thu daøi haïn</t>
  </si>
  <si>
    <t>TOÅNG COÄNG TAØI SAÛN</t>
  </si>
  <si>
    <t>Nguoàn voán ñaàu tö XDCB</t>
  </si>
  <si>
    <t>Voán khaùc cuûa chuû sôû höõu</t>
  </si>
  <si>
    <t>Caùc quyõ</t>
  </si>
  <si>
    <t>Lôïi nhuaän sau thueà chöa phaân phoái</t>
  </si>
  <si>
    <t>Thueá thu nhaäp hoaõn laõi</t>
  </si>
  <si>
    <t>Luõy keá</t>
  </si>
  <si>
    <t>ÑVT</t>
  </si>
  <si>
    <t>%</t>
  </si>
  <si>
    <t xml:space="preserve">Cô caáu taøi saûn </t>
  </si>
  <si>
    <t>Cô caáu nguoàn voán</t>
  </si>
  <si>
    <t xml:space="preserve">Khaû naêng thanh toaùn </t>
  </si>
  <si>
    <t>Laàn</t>
  </si>
  <si>
    <t>Tyû suaát lôïi nhuaän sau thueá /Toång taøi saûn</t>
  </si>
  <si>
    <t>Tyû suaát lôïi nhuaän sau thueá /Doanh thu thuaàn</t>
  </si>
  <si>
    <t>Tyû suaát lôõi nhuaän</t>
  </si>
  <si>
    <t>Toång giaùm ñoác</t>
  </si>
  <si>
    <t>( Chæ aùp duïng ñoái vôùi baùo caùo naêm)</t>
  </si>
  <si>
    <t>Khaû naêng thanh toaùn nhanh</t>
  </si>
  <si>
    <t>( Tieàn + Ñaàu tö TC NH)/ Nôï ngaén haïn</t>
  </si>
  <si>
    <t>(Toång taøi saûn / Toång nôï)</t>
  </si>
  <si>
    <t xml:space="preserve"> - Thueâ ñaát, khaùc ( Trích tröôùc)</t>
  </si>
  <si>
    <t xml:space="preserve">Tieàn haøng khoâng phaûi thanh toùan cho Jiang men do haøng keùm chaát löôïng </t>
  </si>
  <si>
    <t>Tieàn haøng khoâng phaûi thanh toaùn cho tiros theo PK 03 HÑ 21/07/GASN-TIROS/BUY</t>
  </si>
  <si>
    <t>(Theo phöông phaùp giaùn tieáp)</t>
  </si>
  <si>
    <t>I. LÖU CHUYEÅN TIEÀN TÖØ HOAÏT ÑOÄNG KINH DOANH</t>
  </si>
  <si>
    <t>1- Lôïi nhuaän tröôùc thueá:</t>
  </si>
  <si>
    <t>2- Ñieàu chænh cho caùc khoaûn:</t>
  </si>
  <si>
    <t>- Khaáu hao taøi saûn coá ñònh</t>
  </si>
  <si>
    <t>02</t>
  </si>
  <si>
    <t>- Caùc khoaûn döï phoøng</t>
  </si>
  <si>
    <t>- Laõi, loã cheânh leäch tæ giaù hoái ñoaùi chöa thöïc hieän</t>
  </si>
  <si>
    <t>04</t>
  </si>
  <si>
    <t>- Laõi, loã töø hoaït ñoäng ñaàu tö</t>
  </si>
  <si>
    <t>05</t>
  </si>
  <si>
    <t>- Chi phí laõi vay</t>
  </si>
  <si>
    <t>06</t>
  </si>
  <si>
    <t>3- Lôïi nhuaän töø hoaït ñoäng kinh doanh tröôùc nhöõng thay ñoåi voán löu ñoäng</t>
  </si>
  <si>
    <t>08</t>
  </si>
  <si>
    <t>- Taêng giaûm caùc khoaûn phaûi thu</t>
  </si>
  <si>
    <t>09</t>
  </si>
  <si>
    <t>- Taêng giaûm haøng toàn kho</t>
  </si>
  <si>
    <t>10</t>
  </si>
  <si>
    <t xml:space="preserve">- Taêng giaûm caùc khoaûn phaûi traû </t>
  </si>
  <si>
    <t>- Taêng giaûm chi phí traû tröôùc</t>
  </si>
  <si>
    <t>- Tieàn laõi vay ñaõ traû</t>
  </si>
  <si>
    <t>- Thueá thu nhaäp doanh nghieäp ñaõ noäp</t>
  </si>
  <si>
    <t>- Tieàn thu khaùc töø hoaït ñoäng kinh doanh</t>
  </si>
  <si>
    <t>- Tieàn chi khaùc töø hoaït ñoäng kinh doanh</t>
  </si>
  <si>
    <t>Löu chuyeån tieàn thuaàn töø hoaït ñoäng kinh doanh</t>
  </si>
  <si>
    <t>II. LÖU CHUYEÅN TIEÀN TÖØ HOAÏT ÑOÄNG ÑAÀU TÖ</t>
  </si>
  <si>
    <t>1- Tieàn chi ñeå mua saém, xaây döïng TSCÑ</t>
  </si>
  <si>
    <t>2- Tieàn thu töø thanh lyù, nhöôïng baùn TSCÑ</t>
  </si>
  <si>
    <t>3- Tieàn chi cho vay, mua caùc coâng cuï nôï cuûa ñôn vò khaùc</t>
  </si>
  <si>
    <t>5- Tieàn chi ñaàu tö goùp voán vaøo caùc ñôn vò khaùc</t>
  </si>
  <si>
    <t>6- Tieàn thu hoài ñaàu tö goùp voán vaøo caùc ñôn vò khaùc</t>
  </si>
  <si>
    <t>7- Tieàn thu laõi cho vay, coå töùc vaø lôïi nhuaän ñöôïc chia</t>
  </si>
  <si>
    <t>Löu chuyeån tieàn thuaàn töø hoaït ñoäng ñaàu tö</t>
  </si>
  <si>
    <t>III.LÖU CHUYEÅN TIEÀN TÖØ HOAÏT ÑOÄNG TAØI CHÍNH</t>
  </si>
  <si>
    <t>31</t>
  </si>
  <si>
    <t>2- Tieàn chæ traû voán goùp cho caùc chuû sôû höõu, mua laïi coå phieáu cuûa doanh nghieäp ñaõ phaùt haønh</t>
  </si>
  <si>
    <t>32</t>
  </si>
  <si>
    <t>3- Tieàn vay ngaén haïn, daøi haïn nhaän ñöôïc</t>
  </si>
  <si>
    <t>4- Tieàn chi traû nôï goác vay</t>
  </si>
  <si>
    <t>6- Coå töùc, lôïi nhuaän ñaõ traû cho chuû sôû höõu</t>
  </si>
  <si>
    <t>Löu chuyeån tieàn thuaàn töø hoaït ñoäng taøi chính</t>
  </si>
  <si>
    <t>40</t>
  </si>
  <si>
    <t>Löu chuyeån tieàn thuaàn trong kì</t>
  </si>
  <si>
    <t>Tieàn vaø töông ñöông tieàn toàn ñaàu kì</t>
  </si>
  <si>
    <t>Aûnh höôûng cuûa thay ñoåi tyû giaù hoái ñoaùi quy ñoåi ngoaïi teä</t>
  </si>
  <si>
    <t>2286</t>
  </si>
  <si>
    <t>2287</t>
  </si>
  <si>
    <t>Ñaàu tö daøi haïn  vaøo NH TM CP VIEÄT AÙ</t>
  </si>
  <si>
    <t>2131</t>
  </si>
  <si>
    <t>2135</t>
  </si>
  <si>
    <t>Quyeàn söû duïng ñaát</t>
  </si>
  <si>
    <t>Phaàn meàm maùy vi tính P.XNK</t>
  </si>
  <si>
    <t>QUYÙ 4</t>
  </si>
  <si>
    <t>LUYÕ KEÁ TÖØ ÑAÀU NAÊM ÑEÁN CUOÁI QUYÙ NAØY</t>
  </si>
  <si>
    <t>Tieàn vaø töông ñöông tieàn toàn cuoái kì</t>
  </si>
  <si>
    <t>1- Tieàn thu phaùt haønh coå phieáu, nhaän voán goùp cuûa chuû sôû höõu, cbaùn coà phieáu quyõ</t>
  </si>
  <si>
    <t>Ñaàu tö daøi haïn  vaøo NH NT VIEÄT NAM</t>
  </si>
  <si>
    <t xml:space="preserve"> - Taïi ngaøy cuoái quyù </t>
  </si>
  <si>
    <t>7</t>
  </si>
  <si>
    <t>Maãu soá B 03a - DN  (Ban haønh theo QÑ soá 15/2006/QÑ-BTC Ngaøy 20/03/2006 cuûa Boä tröôûng BTC)</t>
  </si>
  <si>
    <t xml:space="preserve">Ñòa chæ: 236/7 Nguyeãn Vaên Löôïng,Q.Goø Vaáp </t>
  </si>
  <si>
    <t xml:space="preserve">BAÙO CAÙO LÖU CHUYEÅN TIEÀN TEÄ  </t>
  </si>
  <si>
    <t>(Daïng ñaày ñuû)</t>
  </si>
  <si>
    <t>Ñôn vò tính : ñoàng Vieät Nam</t>
  </si>
  <si>
    <t>Luõy keá töø ñaàu naêm ñeán cuoái quyù naøy</t>
  </si>
  <si>
    <t>Maãu soá B 03b - DN  (Ban haønh theo QÑ soá 15/2006/QÑ-BTC Ngaøy 20/03/2006 cuûa Boä tröôûng BTC)</t>
  </si>
  <si>
    <t>(Daïng toùm löôïc)</t>
  </si>
  <si>
    <t>1. Löu chuyeån tieàn thuaàn töø hoaït ñoäng kinh doanh</t>
  </si>
  <si>
    <t>2. Löu chuyeån tieàn thuaàn töø hoaït ñoäng ñaàu tö</t>
  </si>
  <si>
    <t>1- Tieàn thu phaùt haønh coå phieáu, nhaän voán goùp cuûa chuû sôû höõu, baùn coà phieáu quyõ</t>
  </si>
  <si>
    <t>3.Löu chuyeån tieàn thuaàn töø hoaït ñoäng taøi chính</t>
  </si>
  <si>
    <t>4. Löu chuyeån tieàn thuaàn trong kì (50=20+30+40)</t>
  </si>
  <si>
    <t>5.Tieàn vaø töông ñöông tieàn toàn ñaàu kì</t>
  </si>
  <si>
    <t>b/- Döï aùn XN may Taân Myõ taïi Cuïm CN Haéc Dòch  :</t>
  </si>
  <si>
    <t>6.Aûnh höôûng cuûa thay ñoåi tyû giaù hoái ñoaùi quy ñoåi ngoaïi teä</t>
  </si>
  <si>
    <t>Ñaëng Ñaøi Trang                                Nguyễn Thị Chính</t>
  </si>
  <si>
    <t>7.Tieàn vaø töông ñöông tieàn toàn cuoái kì (70=50+60+61)</t>
  </si>
  <si>
    <t>Ñaàu tö daøi haïn  Sagoda</t>
  </si>
  <si>
    <t>Ñaàu tö daøi haïn  Saleco</t>
  </si>
  <si>
    <t>Xaây döïng cô baûn 213 ADV</t>
  </si>
  <si>
    <t>Chi phí phaûi traû haøng CMP</t>
  </si>
  <si>
    <t>Chi phí phaûi traû haøng FOB</t>
  </si>
  <si>
    <t>Chi phí phaûi traû khaùc</t>
  </si>
  <si>
    <t>Ñaëng Ñaøi Trang</t>
  </si>
  <si>
    <t>Ñaëng Ñaøi Trang                                                                                    Nguyễn Thị Chính</t>
  </si>
  <si>
    <t>Ñaëng Ñaøi Trang                                           Nguyễn Thị Chính</t>
  </si>
  <si>
    <t>Doanh thu baùn haøng vaø cung caáp dòch vuï</t>
  </si>
  <si>
    <t>Doanh thu thuaàn veà baùn haøng vaø cung caáp dòch vuï ( 01-03)</t>
  </si>
  <si>
    <t>Lôïi nhuaän  goäp veà baùn haøng vaø cung caáp dòch vuï  ( 10-11)</t>
  </si>
  <si>
    <t>Chi phí taøi chính</t>
  </si>
  <si>
    <t xml:space="preserve">Caùc khoaûn giaûm tröø </t>
  </si>
  <si>
    <t>Töø ngaøy 01/01/2006 ñeán ngaøy 31/12/2006</t>
  </si>
  <si>
    <t>Soá TT</t>
  </si>
  <si>
    <t>Taøi saûn</t>
  </si>
  <si>
    <t>Maõ soá</t>
  </si>
  <si>
    <t>Soá cuoái kyø</t>
  </si>
  <si>
    <t>A</t>
  </si>
  <si>
    <t>Taøi saûn löu ñoäng vaø ñaàu tö ngaén haïn</t>
  </si>
  <si>
    <t>I</t>
  </si>
  <si>
    <t>Tieàn</t>
  </si>
  <si>
    <t>II</t>
  </si>
  <si>
    <t>Caùc khoaûn ñaàu tö taøi chính ngaén haïn</t>
  </si>
  <si>
    <t>Ñaàu tö chöùng khoaùn ngaén haïn</t>
  </si>
  <si>
    <t>III</t>
  </si>
  <si>
    <t>Caùc khoaûn phaûi thu</t>
  </si>
  <si>
    <t>Phaûi thu cuûa khaùch haøng</t>
  </si>
  <si>
    <t>Traû tröôùc cho ngöôøi baùn</t>
  </si>
  <si>
    <t>Phaûi thu noäi boä</t>
  </si>
  <si>
    <t>Caùc khoaûn phaûi thu khaùc</t>
  </si>
  <si>
    <t>IV</t>
  </si>
  <si>
    <t>Haøng toàn kho</t>
  </si>
  <si>
    <t>V</t>
  </si>
  <si>
    <t>B</t>
  </si>
  <si>
    <t>Taøi saûn coá ñònh höõu hình</t>
  </si>
  <si>
    <t xml:space="preserve"> - Nguyeân giaù</t>
  </si>
  <si>
    <t xml:space="preserve"> - Giaù trò hao moøn luõy keá</t>
  </si>
  <si>
    <t>Taøi saûn coá ñònh thueâ taøi chính</t>
  </si>
  <si>
    <t>Taøi saûn coá ñònh voâ hình</t>
  </si>
  <si>
    <t>Caùc khoaûn ñaàu tö taøi chính daøi haïn</t>
  </si>
  <si>
    <t>Ñaàu tö daøi haïn khaùc</t>
  </si>
  <si>
    <t>Chi phí xaây döïng cô baûn dôû dang</t>
  </si>
  <si>
    <t>Toång coäng taøi saûn</t>
  </si>
  <si>
    <t>Nguoàn voán</t>
  </si>
  <si>
    <t>Nôï phaûi traû</t>
  </si>
  <si>
    <t>Nôï ngaén haïn</t>
  </si>
  <si>
    <t>Phaûi traû cho ngöôøi baùn</t>
  </si>
  <si>
    <t>Ngöôøi mua traû tieàn tröôùc</t>
  </si>
  <si>
    <t>Thueá vaø caùc khoaûn phaûi noäp nhaø nöôùc</t>
  </si>
  <si>
    <t>Phaûi traû coâng nhaân vieân</t>
  </si>
  <si>
    <t>Caùc khoaûn phaûi traû, phaûi noäp khaùc</t>
  </si>
  <si>
    <t>Nôï daøi haïn</t>
  </si>
  <si>
    <t>Chi phí phaûi traû</t>
  </si>
  <si>
    <t>Nguoàn voán chuû sôû höõu</t>
  </si>
  <si>
    <t>Cheânh leäch ñaùnh giaù laïi taøi saûn</t>
  </si>
  <si>
    <t>Quõy ñaàu tö phaùt trieån</t>
  </si>
  <si>
    <t>Quõy döï phoøng taøi chính</t>
  </si>
  <si>
    <t>Lôïi nhuaän chöa phaân phoái</t>
  </si>
  <si>
    <t>Quõy khen thöôûng vaø phuùc lôïi</t>
  </si>
  <si>
    <t>Nguoàn kinh phí</t>
  </si>
  <si>
    <t>Toång coäng nguoàn voán</t>
  </si>
  <si>
    <t>CAÙC CHÆ TIEÂU NGOAØI BAÛNG CAÂN ÑOÁI KEÁ TOAÙN</t>
  </si>
  <si>
    <t>STT</t>
  </si>
  <si>
    <t>Chæ tieâu</t>
  </si>
  <si>
    <t>Soá ñaàu naêm</t>
  </si>
  <si>
    <t>Taøi saûn thueâ ngoaøi</t>
  </si>
  <si>
    <t>Haøng hoaù nhaän baùn hoä, nhaän kyù quyõ</t>
  </si>
  <si>
    <t>Nôï khoù ñoøi ñaõ xöû lyù</t>
  </si>
  <si>
    <t>Ngoaïi teä caùc loaïi</t>
  </si>
  <si>
    <t>( Kyù, hoï teân)</t>
  </si>
  <si>
    <t>Nguoàn kinh phí ñaõ hình thaønh TSCÑ</t>
  </si>
  <si>
    <t>KEÁT QUAÛ HOAÏT ÑOÄNG KINH DOANH</t>
  </si>
  <si>
    <t>CHÆ TIEÂU</t>
  </si>
  <si>
    <t>01</t>
  </si>
  <si>
    <t>03</t>
  </si>
  <si>
    <t>Gía voán haøng baùn</t>
  </si>
  <si>
    <t>Chi phí baùn haøng</t>
  </si>
  <si>
    <t>Chi phí quaûn lyù doanh nghieäp</t>
  </si>
  <si>
    <t>Doanh thu hoaït ñoäng taøi chính</t>
  </si>
  <si>
    <t>Trong ñoù : Laõi vay phaûi traû</t>
  </si>
  <si>
    <t>Lôïi nhuaän thuaàn töø hoaït ñoäng kinh doanh ( 20+(21-22)-(24+25))</t>
  </si>
  <si>
    <t>Thu nhaäp khaùc</t>
  </si>
  <si>
    <t>Chi phí khaùc</t>
  </si>
  <si>
    <t>Lôïi nhuaän khaùc ( 31-32)</t>
  </si>
  <si>
    <t>T1</t>
  </si>
  <si>
    <t>Soá  ñaàu kyø</t>
  </si>
  <si>
    <r>
      <t xml:space="preserve">Ñôn vò: </t>
    </r>
    <r>
      <rPr>
        <b/>
        <sz val="10"/>
        <rFont val="VNI-Times"/>
        <family val="0"/>
      </rPr>
      <t>Coâng ty Coå Phaàn SX-TM May Saøi Goøn</t>
    </r>
  </si>
  <si>
    <t xml:space="preserve"> phuïc vuï ngaønh may.Coâng nghieäp deäït len caùc loaïi. Moâi giôùi thöông maïi, ñaàu tö kinh doanh sieâu thò vaø dòch vuï cho thueâ vaên phoøng,</t>
  </si>
  <si>
    <t xml:space="preserve"> cöûa haøng.Kinh doanh nhaø.Dòch vuï giaët taåy. Cho thueâ nhaø xöôûng. Tö vaán quaûn lyù kinh doanh.</t>
  </si>
  <si>
    <t>236/7 Nguyeãn Vaên Löôïng P17, Q.Goø Vaáp</t>
  </si>
  <si>
    <t>Quý 4/2006</t>
  </si>
  <si>
    <t>Quyù 1/2006</t>
  </si>
  <si>
    <t>T2+3</t>
  </si>
  <si>
    <t>Toång lôïi nhuaän keá toaùn tröôùc thueá ( 30+40)</t>
  </si>
  <si>
    <t xml:space="preserve">Chi phí thueá thu nhaäp doanh nghieäp  </t>
  </si>
  <si>
    <t>Lôïi nhuaän sau thueá ( 50-51 -52)</t>
  </si>
  <si>
    <t>Laõi cô baûn treân coå phieáu</t>
  </si>
  <si>
    <t>Thueá thu nhaäp ñöôïc mieãn giaûm</t>
  </si>
  <si>
    <t>Thueá thu nhaäp phaûi noäp</t>
  </si>
  <si>
    <t>Chi phí thueá thu nhaäp hoaõn laõi</t>
  </si>
  <si>
    <t>Quý 4/2005</t>
  </si>
  <si>
    <t xml:space="preserve">   Loã do ñaùnh giaù laïi caùc khoaûn coâng nôï vaø tieàn göûi coù goác ngoaïi teä</t>
  </si>
  <si>
    <t>TPHCM, ngaøy 20  thaùng 01  naêm 2007</t>
  </si>
  <si>
    <t>Coå töùc treân 1 coå phieáu</t>
  </si>
  <si>
    <t>VI.25</t>
  </si>
  <si>
    <t>VI.26</t>
  </si>
  <si>
    <t>VI.27</t>
  </si>
  <si>
    <t>VI.28</t>
  </si>
  <si>
    <t>VI.29</t>
  </si>
  <si>
    <t>VI.30</t>
  </si>
  <si>
    <t>VI.31</t>
  </si>
  <si>
    <t>V.01</t>
  </si>
  <si>
    <t>V.02</t>
  </si>
  <si>
    <t>V.03</t>
  </si>
  <si>
    <t>V.04</t>
  </si>
  <si>
    <t>Thueá GTGT ñöôïc khaáu tröø</t>
  </si>
  <si>
    <t>Trừ phần thu nhập của Đăng nguyeân</t>
  </si>
  <si>
    <t>Thueá vaø caùc khoaûn phaûi thu Nhaø Nöôùc</t>
  </si>
  <si>
    <t>V.05</t>
  </si>
  <si>
    <t>Voán kinh doanh  ôû caùc ñôn vò tröïc thuoäc</t>
  </si>
  <si>
    <t>Quyù 4 / 2007</t>
  </si>
  <si>
    <t>Quùy 4 / 2007</t>
  </si>
  <si>
    <t>Tp.Hoà Chí Minh, ngaøy 15 thaùng 01 naêm 2008</t>
  </si>
  <si>
    <t>Quyù  4 / 2007</t>
  </si>
  <si>
    <t>Taïi ngaøy 31 thaùng 12 naêm 2007</t>
  </si>
  <si>
    <t>QUYÙ 4 / 2007</t>
  </si>
  <si>
    <t>Töø ngaøy 01/01/2007 ñeán ngaøy 31/12/2007</t>
  </si>
  <si>
    <t>TÖØ 01/01/2007 ÑEÁN 31/12/2007</t>
  </si>
  <si>
    <t>Quyù 4 Naêm 2007</t>
  </si>
  <si>
    <t>Laäp, Ngaøy 15 thaùng 01 naêm 2008</t>
  </si>
  <si>
    <t>QUÙY 4 NAÊM 2007</t>
  </si>
  <si>
    <t xml:space="preserve"> - Thueá thu nhaäp</t>
  </si>
  <si>
    <t xml:space="preserve"> - Thuế thu nhaäp cá nhaân</t>
  </si>
  <si>
    <t>Phaûi thu daøi haïn noäi boä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</si>
  <si>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</si>
  <si>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</si>
  <si>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</si>
  <si>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</si>
  <si>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</si>
  <si>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</si>
  <si>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</si>
  <si>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</si>
  <si>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</si>
  <si>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</si>
  <si>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</si>
  <si>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</si>
  <si>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</si>
  <si>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</si>
  <si>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</si>
  <si>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</si>
  <si>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</si>
  <si>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</si>
  <si>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Döï toaùn, chi söï nghieäp, döï aùn</t>
  </si>
  <si>
    <t>Quyù 3/2006</t>
  </si>
  <si>
    <t>Quyù 2/2006</t>
  </si>
  <si>
    <t>Chi phí khoâng hôïp leä</t>
  </si>
  <si>
    <t xml:space="preserve"> Lôïi nhuaän chòu thueá thu nhaäp doanh nghieäp </t>
  </si>
  <si>
    <t>Toång Giaùm Ñoác</t>
  </si>
  <si>
    <t>Nguyeãn AÂn</t>
  </si>
  <si>
    <t>Phaûi thu daøi haïn khaùc</t>
  </si>
  <si>
    <t xml:space="preserve"> Ngöôøi laäp bieåu                                                         Keá toaùn tröôûng</t>
  </si>
  <si>
    <t xml:space="preserve"> ( Kyù, hoï teân)                                                                   ( Kyù, hoï teân)</t>
  </si>
  <si>
    <t>Nguyeãn Minh Haèng                                               Nguyeãn Thò Chính</t>
  </si>
  <si>
    <t xml:space="preserve">Maãu soá B02-DN </t>
  </si>
  <si>
    <t>( Ban haønh theo QÑ soá  15/2006/QÑ-BTC</t>
  </si>
  <si>
    <t>Ngaøy 20/03/2006 cuûa Boä Tröôûng BTC)</t>
  </si>
  <si>
    <t xml:space="preserve">Maãu soá B01-DN </t>
  </si>
  <si>
    <t>Caùc khoaûn töông ñöông tieàn</t>
  </si>
  <si>
    <t>Thuyeát minh</t>
  </si>
  <si>
    <t>ÑVT: VNÑ</t>
  </si>
  <si>
    <t>Phaûi thu theo tieán ñoä keá hoaïch hôïp ñoàng xaây döïng</t>
  </si>
  <si>
    <t>Taøi saûn ngaén haïn khaùc</t>
  </si>
  <si>
    <t>Chi phí traû tröôùc ngaén haïn</t>
  </si>
  <si>
    <t>Taøi saûn daøi haïn</t>
  </si>
  <si>
    <t>Caùc khoaûn phaøi thu daøi haïn</t>
  </si>
  <si>
    <t>Phaûi thu daøi haïn cuûa khaùch haøng</t>
  </si>
  <si>
    <t xml:space="preserve">Döï phoøng phaûi thu daøi haïn khoù ñoøi </t>
  </si>
  <si>
    <t xml:space="preserve">Taøi saûn coá ñònh </t>
  </si>
  <si>
    <t xml:space="preserve">Döï phoøng giaûm giaù ñaàu tö ngaén haïn </t>
  </si>
  <si>
    <t xml:space="preserve">Döï phoøng caùc khoaûn phaûi thu khoù ñoøi </t>
  </si>
  <si>
    <t xml:space="preserve">Döï phoøng giaûm giaù haøng toàn kho </t>
  </si>
  <si>
    <t>Baát ñoäng saûn ñaàu tö</t>
  </si>
  <si>
    <t>- Nguyeân giaù</t>
  </si>
  <si>
    <t>- Giaù trò hao moøn kuõy keá</t>
  </si>
  <si>
    <t>Ñaàu tö vaøo coâng ty con</t>
  </si>
  <si>
    <t>Ñaàu tö vaøo coâng ty lieân keát, lieân doanh</t>
  </si>
  <si>
    <t>Döï phoøng giaûm giaù chöùng khoaùn ñaàu tö  daøi haïn</t>
  </si>
  <si>
    <t>Taøi saûn daøi haïn khaùc</t>
  </si>
  <si>
    <t>Chi phí traû tröôùc daøi haïn</t>
  </si>
  <si>
    <t>Taøi saûn thueá thu nhaäp hoaõn laïi</t>
  </si>
  <si>
    <t>Vay vaø nôï ngaén haïn</t>
  </si>
  <si>
    <t>Phaûi traû noäi boä</t>
  </si>
  <si>
    <t>Phaûi traû theo tieán ñoä keá hoaïch hôïp ñoàng xaây döïng</t>
  </si>
  <si>
    <t>Phaûi traû daøi haïn ngöôøi baùn</t>
  </si>
  <si>
    <t>Phaûi traû daøi haïn noäi boä</t>
  </si>
  <si>
    <t>Phaûi traû daøi haïn khaùc</t>
  </si>
  <si>
    <t>Thueá thu nhaäp hoaõn laïi phaûi traû</t>
  </si>
  <si>
    <t>Voán chuû sôõ höõu</t>
  </si>
  <si>
    <t>Voán ñaàu tö cuûa chuû sôõ höõu</t>
  </si>
  <si>
    <t>Thaëng dö voán coå phaàn</t>
  </si>
  <si>
    <t>Coå phieáu ngaân quyõ</t>
  </si>
  <si>
    <t>Cheânh leäch tyû giaù hoái ñoaùi</t>
  </si>
  <si>
    <t>Quyõ khaùc thuoäc voán chuû sôõ höõu</t>
  </si>
  <si>
    <t xml:space="preserve">Nguoàn kinh phí </t>
  </si>
  <si>
    <t>Vayï daøi haïn</t>
  </si>
  <si>
    <t>Naêm 2006</t>
  </si>
  <si>
    <t>Naêm 2005</t>
  </si>
  <si>
    <t>I. BAÛNG CAÂN ÑOÁI KEÁ TOAÙN</t>
  </si>
  <si>
    <t>BAÙO CAÙO TAØI CHÍNH TOÙM TAÉT</t>
  </si>
  <si>
    <t xml:space="preserve"> </t>
  </si>
  <si>
    <t>Naêm Nay</t>
  </si>
  <si>
    <t>Naêm tröôùc</t>
  </si>
  <si>
    <t>Naêm nay</t>
  </si>
  <si>
    <t>TK</t>
  </si>
  <si>
    <t>TEÂN TK</t>
  </si>
  <si>
    <t>DÖ ÑAÀU NAÊM</t>
  </si>
  <si>
    <t>NÔÏ</t>
  </si>
  <si>
    <t>COÙ</t>
  </si>
  <si>
    <t/>
  </si>
  <si>
    <t>COÄNG</t>
  </si>
  <si>
    <t>Nguyeãn Thò Chính</t>
  </si>
  <si>
    <t>Nguyeãn Aân</t>
  </si>
  <si>
    <t>LUYÕ KEÁ</t>
  </si>
  <si>
    <t xml:space="preserve">NÔÏ </t>
  </si>
  <si>
    <t>DÖ CUOÁI</t>
  </si>
  <si>
    <t>Nhaø cöûa vaät kieán truùc</t>
  </si>
  <si>
    <t>Maùy moùc thieát bò</t>
  </si>
  <si>
    <t>Phöông tieän vaän taûi</t>
  </si>
  <si>
    <t>Coäng TSCÑ höõu hình</t>
  </si>
  <si>
    <t>Coäng taøi saûn coá ñònh</t>
  </si>
  <si>
    <t>Phaàn meàm maùy vi tính Taân Phuù</t>
  </si>
  <si>
    <t>Hao moøn TSCÑ höõu hình</t>
  </si>
  <si>
    <t>Döï phoøng trôï caáp maát vieäc laøm</t>
  </si>
  <si>
    <t>(Kyù, hoï teân)</t>
  </si>
  <si>
    <t>Phuï tuøng Taân Phuù</t>
  </si>
  <si>
    <t>Hoaù chaát</t>
  </si>
  <si>
    <t>Chi söï nghieäp</t>
  </si>
  <si>
    <t>Thieát bò, duïng cuï quaûn lyù</t>
  </si>
  <si>
    <t>Hao moøn TSCÑ voâ hình Taân Phuù</t>
  </si>
  <si>
    <t>Ñaàu tö daøi haïn vaøo Quaän 8</t>
  </si>
  <si>
    <t>Ñaàu tö daøi haïn vaøo Phuù Myõ</t>
  </si>
  <si>
    <t>Ñaàu tö daøi haïn vaøo Ñaïi Theá Giôùi</t>
  </si>
  <si>
    <t>Kyù quyõ kyù cöôïc daøi haïn</t>
  </si>
  <si>
    <t>Vay ngaén haïn VNÑ</t>
  </si>
  <si>
    <t>Vay ngaén haïn ngoaïi teä</t>
  </si>
  <si>
    <t>Thueá thu nhaäp doanh nghieäp</t>
  </si>
  <si>
    <t xml:space="preserve">Tieàn thueá ñaát </t>
  </si>
  <si>
    <t>Caùc loaïi thueá khaùc</t>
  </si>
  <si>
    <t>Thueá thu nhaäp caù nhaân thöôøng xuyeân</t>
  </si>
  <si>
    <t>Thueá thu nhaäp caù nhaân khoâng thöôøng xuyeân</t>
  </si>
  <si>
    <t xml:space="preserve">Hóa đơn 89058-01/02/07 : thanh lý máy lạnh </t>
  </si>
  <si>
    <t>Hóa đơn 89071-26/03/07 : thanh lý xe 52N-3174</t>
  </si>
  <si>
    <t xml:space="preserve">Hóa đơn 73831-06/01/07 : thanh lý bộ ghế salon </t>
  </si>
  <si>
    <t>Mua coå phaàn Cty SX KD XNK Quaän 8</t>
  </si>
  <si>
    <t>Mua coå phaàn Cty  Saleco = 3.400 CP *131.000 ñoàng/CP</t>
  </si>
  <si>
    <t>Ñaàu tö vaøo Cty TNHH Ñaïi Theá Giôùi</t>
  </si>
  <si>
    <t>Mua coå phaàn Cty  CP da giaøy Sagoda</t>
  </si>
  <si>
    <t>Kinh Phí coâng ñoaøn</t>
  </si>
  <si>
    <t>Lôïi nhuaän chia cho coâng ty hôïp taùc (Ñaêng Nguyeân)</t>
  </si>
  <si>
    <t>Vay trung haïn</t>
  </si>
  <si>
    <t>Vay daøi haïn  VNÑ</t>
  </si>
  <si>
    <t>Vay daøi haïn USD</t>
  </si>
  <si>
    <t>Quyõ döï phoøng trôï caáp maát vieäc laøm</t>
  </si>
  <si>
    <t>Nguoàn voán coá ñònh coå ñoâng</t>
  </si>
  <si>
    <t>Cheânh leäch tyû giaù</t>
  </si>
  <si>
    <t>Quyõ ñaàu tö phaùt trieån</t>
  </si>
  <si>
    <t>Quyõ döï phoøng taøi chính</t>
  </si>
  <si>
    <t>+ Lôïi nhuaän naêm 2007 chöa traû cho Ñaêng Nguyeân</t>
  </si>
  <si>
    <t>Chia coå töùc trong naêm</t>
  </si>
  <si>
    <t xml:space="preserve">                                        Toång giaùm ñoác</t>
  </si>
  <si>
    <t>Quyõ phuùc lôïi</t>
  </si>
  <si>
    <t>Nguoàn kinh phí söï nghieäp naêm tröôùc</t>
  </si>
  <si>
    <t>Coå töùc, lôïi nhuaän lieân doanh</t>
  </si>
  <si>
    <t>Laõi tieàn göûi, laõi cho vay</t>
  </si>
  <si>
    <t>Giaûm giaù haøng baùn</t>
  </si>
  <si>
    <t>Giaù voán cuûa haøng hoaù xuaát khaåu töø T1/07</t>
  </si>
  <si>
    <t>Giaù voán haøng hoaù noäi ñòa</t>
  </si>
  <si>
    <t>Chi phí laõi vay phaûi traû</t>
  </si>
  <si>
    <t>Chi phí taøi chính khaùc</t>
  </si>
  <si>
    <t>Chi phí saûn xuaát chung vaên phoøng coângty</t>
  </si>
  <si>
    <t>Chi phí thueá thu nhaäp doanh nghieäp hieän haønh</t>
  </si>
  <si>
    <t>Xaùc ñònh keát quaû kinh doanh</t>
  </si>
  <si>
    <t>Taøi saûn ngaén haïn</t>
  </si>
  <si>
    <t>Tieàn vaø caùc khoaûn töông ñöông tieàn</t>
  </si>
  <si>
    <t>SOÁ DÖ ÑAÀU KYØ</t>
  </si>
  <si>
    <t>SOÁ DÖ CUOÁI KYØ</t>
  </si>
  <si>
    <t>Caùc khoaûn phaûi thu ngaén haïn</t>
  </si>
  <si>
    <t>Nguoàn kinh phí vaø caùc quyõ khaùc</t>
  </si>
  <si>
    <t>VI</t>
  </si>
  <si>
    <t>TOÅNG COÄNG NGUOÀN VOÁN</t>
  </si>
  <si>
    <t xml:space="preserve">- Khoan khaûo saùt ñòa chaát taïi Taân Myõ </t>
  </si>
  <si>
    <t xml:space="preserve">  (HÑ soá 03/07, HÑôn: 90317-07/02/07)</t>
  </si>
  <si>
    <t xml:space="preserve"> döï aùn ñaàu tö, thieát keá XD coâng trình tại Cty TNHH May Taâân Mỹ-DESCON</t>
  </si>
  <si>
    <t xml:space="preserve">cô sô, thieát keá baûn veõ thi coâng, döï toaùn caùc haïng muïc vaø toång döï </t>
  </si>
  <si>
    <t>toùan tại Cty TNHH may Taân Mỹ - VINA MEÂKONG.</t>
  </si>
  <si>
    <t>- Chi đợt 1: 20% HÑ số 40/HĐTV-XD ngày 29/08/07, tö vaán khaûo saùt,laäp</t>
  </si>
  <si>
    <t xml:space="preserve">- Chi đợt 1: 20% HÑ số 05/HĐTV-XD ngày 02/10/07, thaåm tra thieát keá </t>
  </si>
  <si>
    <t>- Thaåm ñònh thieát keá cô sôû XN may Taân Myõ ( PC 23/12/2007)</t>
  </si>
  <si>
    <t>Ñaàu tö vaøo Cty CP Phuù Myõ (tieàn thueâ ñaát taïi cuïm CN Haéc Dòch)</t>
  </si>
  <si>
    <t>- Tiền thueâ ñaát taïi Cuïm Coâng Nghieäp Haêùc Dòch ( HÑ 02/HÑ/TÑ)</t>
  </si>
  <si>
    <t>Löông + Côm</t>
  </si>
  <si>
    <t>Coäng TSCÑ voâ hình</t>
  </si>
  <si>
    <r>
      <t xml:space="preserve">a/- 213 Hoàng Baøng </t>
    </r>
    <r>
      <rPr>
        <sz val="10"/>
        <rFont val="VNI-Centur"/>
        <family val="0"/>
      </rPr>
      <t xml:space="preserve">:Thieát keá sô boä vaø xin yù kieán qui hoïach </t>
    </r>
  </si>
  <si>
    <t xml:space="preserve">      (HÑ soá 02/HÑTV/07/IC,HÑôn 72195-23/04/07)</t>
  </si>
  <si>
    <t>- Loã cheânh leäch tyû giaù chöa thöïc hieän</t>
  </si>
  <si>
    <t xml:space="preserve">II. BAÙO CAÙO KEÁT QUAÛ HOAÏT ÑOÄNG KINH DOANH </t>
  </si>
  <si>
    <t xml:space="preserve">Doanh thu thuaàn veà baùn haøng vaø cung caáp dòch vuï </t>
  </si>
  <si>
    <t>Caùc khoaûn giaûm tröø doanh thu</t>
  </si>
  <si>
    <t xml:space="preserve">Lôïi nhuaän  goäp veà baùn haøng vaø cung caáp dòch vuï  </t>
  </si>
  <si>
    <t xml:space="preserve">Lôïi nhuaän thuaàn töø hoaït ñoäng kinh doanh </t>
  </si>
  <si>
    <t xml:space="preserve">Lôïi nhuaän khaùc </t>
  </si>
  <si>
    <t xml:space="preserve">Toång lôïi nhuaän keá toaùn tröôùc thueá </t>
  </si>
  <si>
    <t>Lôïi nhuaän sau thueá thu nhaäp doanh nghòeâp</t>
  </si>
  <si>
    <t>II.CAÙC CHÆ TIEÂU TAØI CHÍNH CÔ BAÛN</t>
  </si>
  <si>
    <t>-</t>
  </si>
  <si>
    <t>Taøi saûn coá ñònh / Toång taøi saûn</t>
  </si>
  <si>
    <t>Taøi saûn löu ñoäng  / Toång taøi saûn</t>
  </si>
  <si>
    <t>Nôï phaûi traû / Toång nguoàn voán</t>
  </si>
  <si>
    <t>Nguoàn voán chuû sôû höõu / Toång nguoàn voán</t>
  </si>
  <si>
    <t>Khaû naêng thanh toaùn hieän haønh</t>
  </si>
  <si>
    <t>Tyû suaát lôïi nhuaän sau thueá treân nguoàn voán chuû sôû höõu</t>
  </si>
  <si>
    <t xml:space="preserve">Coâng Ty Coå Phaàn SX-TM May Saøi Goøn </t>
  </si>
  <si>
    <t xml:space="preserve">Maãu soá B09-DN </t>
  </si>
  <si>
    <t>236/7 Nguyeãn Vaên Löôïng,P17,Q.Goø Vaáp</t>
  </si>
  <si>
    <t>THUYEÁT MINH BAÙO CAÙO TAØI CHÍNH</t>
  </si>
  <si>
    <t>I. ÑAËC ÑIEÅM HOAÏT ÑOÄNG CUÛA DOANH NGHIEÄP</t>
  </si>
  <si>
    <t>1. Hình thöùc sôû höõu voán</t>
  </si>
  <si>
    <t>:</t>
  </si>
  <si>
    <t>Coâng Ty Coå Phaàn</t>
  </si>
  <si>
    <t>2. Ngaønh ngheà kinh doanh          :</t>
  </si>
  <si>
    <t>Coâng nghieäp may, coâng nghieäp deät vaûi,kinh doanh vaät tö, maùy moùc  thieát bò vaø nguyeân phuï lieäu</t>
  </si>
  <si>
    <t>4. Toång soá CNV     :</t>
  </si>
  <si>
    <t xml:space="preserve">   Trong ñoù nhaân vieân quaûn lyù     :</t>
  </si>
  <si>
    <t>II. NIEÂN ÑOÄ KEÁ TOAÙN, ÑÔN VÒ TIEÀN TEÄ SÖÛ DUÏNG TRONG KEÁ TOAÙN</t>
  </si>
  <si>
    <t>1. Nieân ñoä keá toaùn</t>
  </si>
  <si>
    <t>2. Ñôn vò tieàn teä söû duïng trong ghi cheùp keá toaùn  : ñoàng Vieät Nam</t>
  </si>
  <si>
    <t>III.  CHUAÅN MÖÏC VAØ CHEÁ ÑOÄ KEÁ TOAÙN AÙP DUÏNG TAÏI DOANH NGHIEÄP</t>
  </si>
  <si>
    <r>
      <t>1. Cheá ñoä keá toaùn aùp duïng</t>
    </r>
    <r>
      <rPr>
        <sz val="10"/>
        <rFont val="VNI-Centur"/>
        <family val="0"/>
      </rPr>
      <t xml:space="preserve"> : Coâng Ty aùp duïng heä thoáng keá toaùn Vieät Nam ñöôïc Boä Taøi Chính ban haønh theo QÑ soá 15/2006</t>
    </r>
  </si>
  <si>
    <t>-QÑ/BTC  ngaøy 20/03/2006 cuûa Boä Tröôûng Boä Taøi Chính  vaø ñöôïc boå sung söûa ñoåi phuø hôïp theo caùc thoâng tö höôùng daãn hieän haønh</t>
  </si>
  <si>
    <r>
      <t xml:space="preserve">2. Hình thöùc soå keá toaùn aùp duïng: </t>
    </r>
    <r>
      <rPr>
        <sz val="10"/>
        <rFont val="VNI-Centur"/>
        <family val="0"/>
      </rPr>
      <t>nhaät kyù chung</t>
    </r>
  </si>
  <si>
    <t>IV.CAÙC CHÍNH SAÙCH KEÁ TOAÙN AÙP DUÏNG</t>
  </si>
  <si>
    <r>
      <t>1. Nguyeân taéc vaø phöông phaùp chuyeån ñoåi caùc ñoàng tieàn khaùc</t>
    </r>
    <r>
      <rPr>
        <sz val="10"/>
        <rFont val="VNI-Centur"/>
        <family val="0"/>
      </rPr>
      <t xml:space="preserve">: theo tyû giaù thöïc teá cuûa ngaân haøng thöông maïi taïi thôøi ñieåm </t>
    </r>
  </si>
  <si>
    <t>phaùt sinh nghieäp vuï</t>
  </si>
  <si>
    <t>2. Phöông phaùp ghi nhaän haøng toàn kho: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</si>
</sst>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#,##0\);&quot;&quot;"/>
    <numFmt numFmtId="167" formatCode="0.0"/>
    <numFmt numFmtId="168" formatCode="#,###;\(#,###\);&quot;&quot;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_(* #,##0.000_);_(* \(#,##0.000\);_(* &quot;-&quot;???_);_(@_)"/>
    <numFmt numFmtId="173" formatCode="0.00000"/>
    <numFmt numFmtId="174" formatCode="0.0000"/>
    <numFmt numFmtId="175" formatCode="0.000"/>
    <numFmt numFmtId="176" formatCode="#,##0.0;\(#,##0.0\);&quot;&quot;"/>
    <numFmt numFmtId="177" formatCode="#,##0.00;\(#,##0.00\);&quot;&quot;"/>
    <numFmt numFmtId="178" formatCode="0.000%"/>
    <numFmt numFmtId="179" formatCode="#,##0.0"/>
    <numFmt numFmtId="180" formatCode="#,##0.000;\(#,##0.000\);&quot;&quot;"/>
    <numFmt numFmtId="181" formatCode="#,##0.0000;\(#,##0.0000\);&quot;&quot;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_(* #,##0.0_);_(* \(#,##0.0\);_(* &quot;-&quot;?_);_(@_)"/>
    <numFmt numFmtId="185" formatCode="0.0000%"/>
    <numFmt numFmtId="186" formatCode="0.0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000"/>
    <numFmt numFmtId="194" formatCode="0.0000000000"/>
    <numFmt numFmtId="195" formatCode="0.00000000000"/>
    <numFmt numFmtId="196" formatCode="0.000000000"/>
    <numFmt numFmtId="197" formatCode="dd/mm/yy"/>
    <numFmt numFmtId="198" formatCode="_(* #,##0.00_);_(* \(#,##0.00\);_(* &quot;-&quot;_);_(@_)"/>
    <numFmt numFmtId="199" formatCode="_-* #,##0_-;\-* #,##0_-;_-* &quot;-&quot;??_-;_-@_-"/>
  </numFmts>
  <fonts count="48">
    <font>
      <sz val="12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8"/>
      <name val="VNI-Times"/>
      <family val="0"/>
    </font>
    <font>
      <b/>
      <sz val="15"/>
      <name val="VNI-Times"/>
      <family val="0"/>
    </font>
    <font>
      <b/>
      <i/>
      <sz val="10"/>
      <name val="VNI-Times"/>
      <family val="0"/>
    </font>
    <font>
      <i/>
      <sz val="10"/>
      <name val="VNI-Times"/>
      <family val="0"/>
    </font>
    <font>
      <sz val="9"/>
      <name val="VNI-Times"/>
      <family val="0"/>
    </font>
    <font>
      <b/>
      <sz val="16"/>
      <name val="VNI-Times"/>
      <family val="0"/>
    </font>
    <font>
      <sz val="11"/>
      <name val="VNI-Times"/>
      <family val="0"/>
    </font>
    <font>
      <b/>
      <i/>
      <sz val="11"/>
      <name val="VNI-Times"/>
      <family val="0"/>
    </font>
    <font>
      <i/>
      <sz val="11"/>
      <name val="VNI-Times"/>
      <family val="0"/>
    </font>
    <font>
      <b/>
      <i/>
      <sz val="12"/>
      <name val="VNI-Times"/>
      <family val="0"/>
    </font>
    <font>
      <sz val="10"/>
      <name val="VNI-Centur"/>
      <family val="0"/>
    </font>
    <font>
      <b/>
      <sz val="9"/>
      <name val="VNI-Times"/>
      <family val="0"/>
    </font>
    <font>
      <sz val="11"/>
      <color indexed="8"/>
      <name val="VNI-Times"/>
      <family val="0"/>
    </font>
    <font>
      <sz val="10"/>
      <color indexed="8"/>
      <name val="VNI-Times"/>
      <family val="0"/>
    </font>
    <font>
      <b/>
      <sz val="10"/>
      <name val="VNI-Centur"/>
      <family val="0"/>
    </font>
    <font>
      <b/>
      <sz val="18"/>
      <name val="VNI-Centur"/>
      <family val="0"/>
    </font>
    <font>
      <b/>
      <sz val="14"/>
      <name val="VNI-Centur"/>
      <family val="0"/>
    </font>
    <font>
      <b/>
      <u val="single"/>
      <sz val="10"/>
      <name val="VNI-Centur"/>
      <family val="0"/>
    </font>
    <font>
      <sz val="9"/>
      <name val="VNI-Centur"/>
      <family val="0"/>
    </font>
    <font>
      <strike/>
      <sz val="11"/>
      <name val="VNI-Times"/>
      <family val="0"/>
    </font>
    <font>
      <u val="single"/>
      <sz val="10"/>
      <name val="VNI-Centur"/>
      <family val="0"/>
    </font>
    <font>
      <b/>
      <sz val="10"/>
      <name val="VNI-Helve-Condense"/>
      <family val="0"/>
    </font>
    <font>
      <b/>
      <sz val="10"/>
      <color indexed="8"/>
      <name val="VNI-Helve-Condense"/>
      <family val="0"/>
    </font>
    <font>
      <sz val="10"/>
      <name val="MS Sans Serif"/>
      <family val="0"/>
    </font>
    <font>
      <sz val="10"/>
      <color indexed="8"/>
      <name val="VNI-Helve-Condense"/>
      <family val="0"/>
    </font>
    <font>
      <sz val="10"/>
      <name val="VNI-Helve-Condense"/>
      <family val="0"/>
    </font>
    <font>
      <b/>
      <sz val="14"/>
      <name val="VNI-Helve-Condens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VNI-Times"/>
      <family val="0"/>
    </font>
    <font>
      <sz val="10"/>
      <color indexed="9"/>
      <name val="VNI-Times"/>
      <family val="0"/>
    </font>
    <font>
      <b/>
      <i/>
      <sz val="10"/>
      <color indexed="9"/>
      <name val="vni-times"/>
      <family val="0"/>
    </font>
    <font>
      <b/>
      <sz val="10"/>
      <color indexed="8"/>
      <name val="VNI-Times"/>
      <family val="0"/>
    </font>
    <font>
      <sz val="14"/>
      <name val="VNI-Times"/>
      <family val="0"/>
    </font>
    <font>
      <b/>
      <sz val="12"/>
      <color indexed="10"/>
      <name val="VNI-Times"/>
      <family val="0"/>
    </font>
    <font>
      <b/>
      <sz val="11"/>
      <color indexed="8"/>
      <name val="Arial"/>
      <family val="0"/>
    </font>
    <font>
      <sz val="10"/>
      <color indexed="8"/>
      <name val="VNI-Centur"/>
      <family val="0"/>
    </font>
    <font>
      <sz val="10"/>
      <color indexed="12"/>
      <name val="VNI-Centur"/>
      <family val="0"/>
    </font>
    <font>
      <b/>
      <i/>
      <sz val="10"/>
      <name val="VNI-Centur"/>
      <family val="0"/>
    </font>
    <font>
      <b/>
      <u val="singleAccounting"/>
      <sz val="10"/>
      <name val="VNI-Centur"/>
      <family val="0"/>
    </font>
    <font>
      <b/>
      <sz val="8"/>
      <name val="VNI-Times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165" fontId="6" fillId="0" borderId="2" xfId="15" applyNumberFormat="1" applyFont="1" applyBorder="1" applyAlignment="1">
      <alignment/>
    </xf>
    <xf numFmtId="0" fontId="6" fillId="0" borderId="3" xfId="0" applyFont="1" applyBorder="1" applyAlignment="1">
      <alignment/>
    </xf>
    <xf numFmtId="165" fontId="6" fillId="0" borderId="3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2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6" fillId="0" borderId="4" xfId="15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5" fontId="0" fillId="0" borderId="0" xfId="15" applyNumberFormat="1" applyAlignment="1">
      <alignment/>
    </xf>
    <xf numFmtId="0" fontId="6" fillId="0" borderId="0" xfId="0" applyFont="1" applyFill="1" applyBorder="1" applyAlignment="1">
      <alignment/>
    </xf>
    <xf numFmtId="165" fontId="13" fillId="0" borderId="2" xfId="15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5" xfId="0" applyFont="1" applyFill="1" applyBorder="1" applyAlignment="1">
      <alignment horizontal="center"/>
    </xf>
    <xf numFmtId="165" fontId="14" fillId="0" borderId="5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165" fontId="5" fillId="0" borderId="4" xfId="15" applyNumberFormat="1" applyFont="1" applyBorder="1" applyAlignment="1">
      <alignment/>
    </xf>
    <xf numFmtId="0" fontId="18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9" fillId="0" borderId="0" xfId="0" applyFont="1" applyAlignment="1">
      <alignment/>
    </xf>
    <xf numFmtId="165" fontId="6" fillId="0" borderId="2" xfId="15" applyNumberFormat="1" applyFont="1" applyFill="1" applyBorder="1" applyAlignment="1">
      <alignment/>
    </xf>
    <xf numFmtId="0" fontId="17" fillId="0" borderId="6" xfId="0" applyFont="1" applyFill="1" applyBorder="1" applyAlignment="1">
      <alignment horizontal="left" indent="2"/>
    </xf>
    <xf numFmtId="0" fontId="14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165" fontId="14" fillId="0" borderId="2" xfId="15" applyNumberFormat="1" applyFont="1" applyFill="1" applyBorder="1" applyAlignment="1">
      <alignment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3" fillId="0" borderId="2" xfId="0" applyFont="1" applyFill="1" applyBorder="1" applyAlignment="1" quotePrefix="1">
      <alignment/>
    </xf>
    <xf numFmtId="0" fontId="13" fillId="0" borderId="2" xfId="0" applyFont="1" applyFill="1" applyBorder="1" applyAlignment="1">
      <alignment horizontal="left"/>
    </xf>
    <xf numFmtId="165" fontId="15" fillId="0" borderId="2" xfId="15" applyNumberFormat="1" applyFont="1" applyFill="1" applyBorder="1" applyAlignment="1">
      <alignment/>
    </xf>
    <xf numFmtId="0" fontId="13" fillId="0" borderId="7" xfId="0" applyFont="1" applyFill="1" applyBorder="1" applyAlignment="1">
      <alignment horizontal="right"/>
    </xf>
    <xf numFmtId="0" fontId="13" fillId="0" borderId="7" xfId="0" applyFont="1" applyFill="1" applyBorder="1" applyAlignment="1">
      <alignment/>
    </xf>
    <xf numFmtId="0" fontId="13" fillId="0" borderId="7" xfId="0" applyFont="1" applyFill="1" applyBorder="1" applyAlignment="1">
      <alignment horizontal="center"/>
    </xf>
    <xf numFmtId="165" fontId="13" fillId="0" borderId="7" xfId="15" applyNumberFormat="1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165" fontId="2" fillId="0" borderId="4" xfId="15" applyNumberFormat="1" applyFont="1" applyFill="1" applyBorder="1" applyAlignment="1">
      <alignment/>
    </xf>
    <xf numFmtId="0" fontId="13" fillId="0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165" fontId="13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5" fontId="5" fillId="0" borderId="4" xfId="15" applyNumberFormat="1" applyFont="1" applyFill="1" applyBorder="1" applyAlignment="1">
      <alignment/>
    </xf>
    <xf numFmtId="165" fontId="5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165" fontId="6" fillId="0" borderId="4" xfId="15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3" fillId="0" borderId="8" xfId="0" applyFont="1" applyFill="1" applyBorder="1" applyAlignment="1">
      <alignment horizontal="right"/>
    </xf>
    <xf numFmtId="0" fontId="13" fillId="0" borderId="8" xfId="0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165" fontId="13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 indent="3"/>
    </xf>
    <xf numFmtId="0" fontId="6" fillId="0" borderId="4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5" fillId="0" borderId="2" xfId="15" applyNumberFormat="1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15" applyNumberFormat="1" applyFont="1" applyFill="1" applyAlignment="1">
      <alignment/>
    </xf>
    <xf numFmtId="165" fontId="13" fillId="0" borderId="0" xfId="15" applyNumberFormat="1" applyFont="1" applyFill="1" applyAlignment="1">
      <alignment/>
    </xf>
    <xf numFmtId="165" fontId="6" fillId="0" borderId="0" xfId="15" applyNumberFormat="1" applyFont="1" applyFill="1" applyAlignment="1">
      <alignment/>
    </xf>
    <xf numFmtId="165" fontId="0" fillId="0" borderId="0" xfId="15" applyNumberFormat="1" applyAlignment="1">
      <alignment horizontal="center"/>
    </xf>
    <xf numFmtId="165" fontId="5" fillId="0" borderId="4" xfId="15" applyNumberFormat="1" applyFont="1" applyBorder="1" applyAlignment="1">
      <alignment horizontal="center"/>
    </xf>
    <xf numFmtId="165" fontId="5" fillId="0" borderId="2" xfId="15" applyNumberFormat="1" applyFont="1" applyBorder="1" applyAlignment="1">
      <alignment horizontal="center"/>
    </xf>
    <xf numFmtId="165" fontId="5" fillId="0" borderId="4" xfId="15" applyNumberFormat="1" applyFont="1" applyFill="1" applyBorder="1" applyAlignment="1">
      <alignment horizontal="center"/>
    </xf>
    <xf numFmtId="165" fontId="5" fillId="0" borderId="2" xfId="15" applyNumberFormat="1" applyFont="1" applyFill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6" fillId="0" borderId="2" xfId="15" applyNumberFormat="1" applyFont="1" applyBorder="1" applyAlignment="1">
      <alignment horizontal="center"/>
    </xf>
    <xf numFmtId="165" fontId="6" fillId="0" borderId="4" xfId="15" applyNumberFormat="1" applyFont="1" applyBorder="1" applyAlignment="1">
      <alignment horizontal="center"/>
    </xf>
    <xf numFmtId="165" fontId="6" fillId="0" borderId="4" xfId="15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/>
    </xf>
    <xf numFmtId="165" fontId="17" fillId="0" borderId="6" xfId="0" applyNumberFormat="1" applyFont="1" applyFill="1" applyBorder="1" applyAlignment="1">
      <alignment/>
    </xf>
    <xf numFmtId="0" fontId="17" fillId="0" borderId="6" xfId="0" applyFont="1" applyFill="1" applyBorder="1" applyAlignment="1" quotePrefix="1">
      <alignment/>
    </xf>
    <xf numFmtId="0" fontId="17" fillId="0" borderId="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indent="3"/>
    </xf>
    <xf numFmtId="165" fontId="17" fillId="0" borderId="6" xfId="15" applyNumberFormat="1" applyFont="1" applyFill="1" applyBorder="1" applyAlignment="1">
      <alignment/>
    </xf>
    <xf numFmtId="0" fontId="21" fillId="0" borderId="6" xfId="0" applyFont="1" applyFill="1" applyBorder="1" applyAlignment="1">
      <alignment horizontal="left" indent="3"/>
    </xf>
    <xf numFmtId="165" fontId="21" fillId="0" borderId="6" xfId="15" applyNumberFormat="1" applyFont="1" applyFill="1" applyBorder="1" applyAlignment="1">
      <alignment/>
    </xf>
    <xf numFmtId="0" fontId="21" fillId="0" borderId="6" xfId="0" applyFont="1" applyFill="1" applyBorder="1" applyAlignment="1">
      <alignment/>
    </xf>
    <xf numFmtId="0" fontId="17" fillId="0" borderId="6" xfId="0" applyFont="1" applyFill="1" applyBorder="1" applyAlignment="1" quotePrefix="1">
      <alignment/>
    </xf>
    <xf numFmtId="165" fontId="17" fillId="0" borderId="6" xfId="15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165" fontId="21" fillId="0" borderId="6" xfId="15" applyNumberFormat="1" applyFont="1" applyFill="1" applyBorder="1" applyAlignment="1">
      <alignment horizontal="center"/>
    </xf>
    <xf numFmtId="0" fontId="17" fillId="0" borderId="6" xfId="0" applyFont="1" applyFill="1" applyBorder="1" applyAlignment="1" quotePrefix="1">
      <alignment horizontal="left" indent="8"/>
    </xf>
    <xf numFmtId="165" fontId="17" fillId="0" borderId="6" xfId="15" applyNumberFormat="1" applyFont="1" applyFill="1" applyBorder="1" applyAlignment="1" quotePrefix="1">
      <alignment horizontal="left" indent="8"/>
    </xf>
    <xf numFmtId="43" fontId="17" fillId="0" borderId="6" xfId="15" applyFont="1" applyFill="1" applyBorder="1" applyAlignment="1">
      <alignment horizontal="center"/>
    </xf>
    <xf numFmtId="165" fontId="17" fillId="0" borderId="9" xfId="15" applyNumberFormat="1" applyFont="1" applyFill="1" applyBorder="1" applyAlignment="1">
      <alignment/>
    </xf>
    <xf numFmtId="0" fontId="21" fillId="0" borderId="9" xfId="0" applyFont="1" applyFill="1" applyBorder="1" applyAlignment="1">
      <alignment/>
    </xf>
    <xf numFmtId="165" fontId="17" fillId="0" borderId="4" xfId="15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165" fontId="17" fillId="0" borderId="2" xfId="15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65" fontId="17" fillId="0" borderId="11" xfId="15" applyNumberFormat="1" applyFont="1" applyFill="1" applyBorder="1" applyAlignment="1">
      <alignment/>
    </xf>
    <xf numFmtId="165" fontId="21" fillId="0" borderId="9" xfId="15" applyNumberFormat="1" applyFont="1" applyFill="1" applyBorder="1" applyAlignment="1">
      <alignment/>
    </xf>
    <xf numFmtId="165" fontId="21" fillId="0" borderId="9" xfId="15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165" fontId="17" fillId="0" borderId="5" xfId="15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vertical="center"/>
    </xf>
    <xf numFmtId="165" fontId="17" fillId="0" borderId="8" xfId="15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165" fontId="17" fillId="0" borderId="12" xfId="15" applyNumberFormat="1" applyFont="1" applyFill="1" applyBorder="1" applyAlignment="1">
      <alignment/>
    </xf>
    <xf numFmtId="165" fontId="17" fillId="0" borderId="12" xfId="15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/>
    </xf>
    <xf numFmtId="165" fontId="17" fillId="0" borderId="4" xfId="15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165" fontId="17" fillId="0" borderId="2" xfId="15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165" fontId="17" fillId="0" borderId="3" xfId="15" applyNumberFormat="1" applyFont="1" applyFill="1" applyBorder="1" applyAlignment="1">
      <alignment/>
    </xf>
    <xf numFmtId="165" fontId="17" fillId="0" borderId="3" xfId="15" applyNumberFormat="1" applyFont="1" applyFill="1" applyBorder="1" applyAlignment="1">
      <alignment horizontal="center"/>
    </xf>
    <xf numFmtId="165" fontId="21" fillId="0" borderId="6" xfId="0" applyNumberFormat="1" applyFont="1" applyFill="1" applyBorder="1" applyAlignment="1">
      <alignment/>
    </xf>
    <xf numFmtId="0" fontId="21" fillId="0" borderId="6" xfId="0" applyFont="1" applyFill="1" applyBorder="1" applyAlignment="1">
      <alignment horizontal="left"/>
    </xf>
    <xf numFmtId="0" fontId="17" fillId="0" borderId="6" xfId="0" applyFont="1" applyFill="1" applyBorder="1" applyAlignment="1" quotePrefix="1">
      <alignment horizontal="left" indent="2"/>
    </xf>
    <xf numFmtId="0" fontId="21" fillId="0" borderId="6" xfId="0" applyFont="1" applyFill="1" applyBorder="1" applyAlignment="1" quotePrefix="1">
      <alignment horizontal="left" indent="2"/>
    </xf>
    <xf numFmtId="43" fontId="21" fillId="0" borderId="6" xfId="0" applyNumberFormat="1" applyFont="1" applyFill="1" applyBorder="1" applyAlignment="1">
      <alignment/>
    </xf>
    <xf numFmtId="0" fontId="17" fillId="0" borderId="6" xfId="0" applyFont="1" applyFill="1" applyBorder="1" applyAlignment="1" quotePrefix="1">
      <alignment horizontal="left" indent="4"/>
    </xf>
    <xf numFmtId="0" fontId="25" fillId="0" borderId="6" xfId="0" applyFont="1" applyFill="1" applyBorder="1" applyAlignment="1">
      <alignment/>
    </xf>
    <xf numFmtId="43" fontId="17" fillId="0" borderId="6" xfId="15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5" fontId="13" fillId="0" borderId="2" xfId="15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65" fontId="13" fillId="0" borderId="3" xfId="15" applyNumberFormat="1" applyFont="1" applyBorder="1" applyAlignment="1">
      <alignment/>
    </xf>
    <xf numFmtId="165" fontId="13" fillId="0" borderId="0" xfId="15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2" fillId="0" borderId="1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165" fontId="17" fillId="0" borderId="0" xfId="15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165" fontId="17" fillId="0" borderId="7" xfId="15" applyNumberFormat="1" applyFont="1" applyFill="1" applyBorder="1" applyAlignment="1">
      <alignment/>
    </xf>
    <xf numFmtId="165" fontId="17" fillId="0" borderId="0" xfId="15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165" fontId="21" fillId="0" borderId="1" xfId="15" applyNumberFormat="1" applyFont="1" applyFill="1" applyBorder="1" applyAlignment="1">
      <alignment/>
    </xf>
    <xf numFmtId="0" fontId="17" fillId="0" borderId="6" xfId="0" applyFont="1" applyFill="1" applyBorder="1" applyAlignment="1" quotePrefix="1">
      <alignment horizontal="left" indent="3"/>
    </xf>
    <xf numFmtId="0" fontId="17" fillId="0" borderId="6" xfId="0" applyFont="1" applyFill="1" applyBorder="1" applyAlignment="1" quotePrefix="1">
      <alignment horizontal="left" indent="6"/>
    </xf>
    <xf numFmtId="0" fontId="17" fillId="0" borderId="6" xfId="0" applyFont="1" applyFill="1" applyBorder="1" applyAlignment="1" quotePrefix="1">
      <alignment horizontal="left"/>
    </xf>
    <xf numFmtId="0" fontId="17" fillId="0" borderId="6" xfId="0" applyFont="1" applyFill="1" applyBorder="1" applyAlignment="1" quotePrefix="1">
      <alignment horizontal="left" indent="1"/>
    </xf>
    <xf numFmtId="0" fontId="21" fillId="0" borderId="6" xfId="0" applyFont="1" applyFill="1" applyBorder="1" applyAlignment="1">
      <alignment horizontal="right"/>
    </xf>
    <xf numFmtId="165" fontId="21" fillId="0" borderId="6" xfId="15" applyNumberFormat="1" applyFont="1" applyFill="1" applyBorder="1" applyAlignment="1">
      <alignment horizontal="right"/>
    </xf>
    <xf numFmtId="165" fontId="17" fillId="0" borderId="6" xfId="15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65" fontId="20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2" xfId="0" applyFont="1" applyFill="1" applyBorder="1" applyAlignment="1">
      <alignment horizontal="center"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65" fontId="6" fillId="0" borderId="0" xfId="15" applyNumberFormat="1" applyFont="1" applyAlignment="1">
      <alignment/>
    </xf>
    <xf numFmtId="0" fontId="6" fillId="0" borderId="18" xfId="0" applyFont="1" applyBorder="1" applyAlignment="1">
      <alignment horizontal="center" vertical="center"/>
    </xf>
    <xf numFmtId="49" fontId="0" fillId="0" borderId="1" xfId="15" applyNumberFormat="1" applyFont="1" applyBorder="1" applyAlignment="1">
      <alignment horizontal="center"/>
    </xf>
    <xf numFmtId="165" fontId="6" fillId="0" borderId="5" xfId="1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left" indent="2"/>
    </xf>
    <xf numFmtId="0" fontId="13" fillId="0" borderId="4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13" fillId="0" borderId="7" xfId="0" applyFont="1" applyFill="1" applyBorder="1" applyAlignment="1">
      <alignment horizontal="left" indent="2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3" fillId="0" borderId="14" xfId="0" applyFont="1" applyBorder="1" applyAlignment="1">
      <alignment/>
    </xf>
    <xf numFmtId="165" fontId="2" fillId="0" borderId="1" xfId="15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41" fontId="2" fillId="0" borderId="20" xfId="15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13" fillId="0" borderId="2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10" fontId="13" fillId="0" borderId="0" xfId="22" applyNumberFormat="1" applyFont="1" applyBorder="1" applyAlignment="1">
      <alignment/>
    </xf>
    <xf numFmtId="0" fontId="0" fillId="0" borderId="6" xfId="0" applyBorder="1" applyAlignment="1">
      <alignment horizontal="center"/>
    </xf>
    <xf numFmtId="165" fontId="27" fillId="0" borderId="6" xfId="15" applyNumberFormat="1" applyFont="1" applyFill="1" applyBorder="1" applyAlignment="1">
      <alignment/>
    </xf>
    <xf numFmtId="0" fontId="25" fillId="0" borderId="6" xfId="0" applyFont="1" applyFill="1" applyBorder="1" applyAlignment="1">
      <alignment horizontal="left" indent="2"/>
    </xf>
    <xf numFmtId="165" fontId="25" fillId="0" borderId="6" xfId="15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165" fontId="29" fillId="0" borderId="0" xfId="21" applyNumberFormat="1" applyFont="1" applyBorder="1" applyAlignment="1">
      <alignment horizontal="center"/>
      <protection/>
    </xf>
    <xf numFmtId="165" fontId="31" fillId="0" borderId="0" xfId="21" applyNumberFormat="1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8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/>
    </xf>
    <xf numFmtId="0" fontId="28" fillId="0" borderId="2" xfId="0" applyFont="1" applyBorder="1" applyAlignment="1">
      <alignment horizontal="left" vertical="center" indent="1"/>
    </xf>
    <xf numFmtId="0" fontId="28" fillId="0" borderId="2" xfId="0" applyFont="1" applyBorder="1" applyAlignment="1" quotePrefix="1">
      <alignment horizontal="center"/>
    </xf>
    <xf numFmtId="3" fontId="28" fillId="0" borderId="2" xfId="0" applyNumberFormat="1" applyFont="1" applyBorder="1" applyAlignment="1">
      <alignment/>
    </xf>
    <xf numFmtId="0" fontId="28" fillId="0" borderId="2" xfId="0" applyFont="1" applyBorder="1" applyAlignment="1">
      <alignment horizontal="center"/>
    </xf>
    <xf numFmtId="0" fontId="32" fillId="0" borderId="2" xfId="0" applyFont="1" applyBorder="1" applyAlignment="1" quotePrefix="1">
      <alignment horizontal="left" vertical="center" indent="1"/>
    </xf>
    <xf numFmtId="0" fontId="32" fillId="0" borderId="2" xfId="0" applyFont="1" applyBorder="1" applyAlignment="1" quotePrefix="1">
      <alignment horizontal="center"/>
    </xf>
    <xf numFmtId="3" fontId="32" fillId="0" borderId="2" xfId="0" applyNumberFormat="1" applyFont="1" applyBorder="1" applyAlignment="1">
      <alignment horizontal="center"/>
    </xf>
    <xf numFmtId="3" fontId="32" fillId="0" borderId="2" xfId="0" applyNumberFormat="1" applyFont="1" applyBorder="1" applyAlignment="1">
      <alignment/>
    </xf>
    <xf numFmtId="37" fontId="32" fillId="0" borderId="2" xfId="0" applyNumberFormat="1" applyFont="1" applyBorder="1" applyAlignment="1">
      <alignment/>
    </xf>
    <xf numFmtId="0" fontId="28" fillId="0" borderId="2" xfId="0" applyFont="1" applyBorder="1" applyAlignment="1">
      <alignment horizontal="left" vertical="center" wrapText="1" indent="1"/>
    </xf>
    <xf numFmtId="0" fontId="28" fillId="0" borderId="2" xfId="0" applyFont="1" applyBorder="1" applyAlignment="1" quotePrefix="1">
      <alignment horizontal="center" vertical="center" wrapText="1"/>
    </xf>
    <xf numFmtId="3" fontId="28" fillId="0" borderId="2" xfId="0" applyNumberFormat="1" applyFont="1" applyBorder="1" applyAlignment="1">
      <alignment vertical="center" wrapText="1"/>
    </xf>
    <xf numFmtId="0" fontId="32" fillId="0" borderId="2" xfId="0" applyFont="1" applyBorder="1" applyAlignment="1" quotePrefix="1">
      <alignment horizontal="left" indent="1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 quotePrefix="1">
      <alignment horizontal="left" vertical="justify" indent="1"/>
    </xf>
    <xf numFmtId="37" fontId="32" fillId="0" borderId="2" xfId="0" applyNumberFormat="1" applyFont="1" applyBorder="1" applyAlignment="1">
      <alignment vertical="top"/>
    </xf>
    <xf numFmtId="0" fontId="32" fillId="0" borderId="2" xfId="0" applyFont="1" applyBorder="1" applyAlignment="1" quotePrefix="1">
      <alignment horizontal="center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Border="1" applyAlignment="1" quotePrefix="1">
      <alignment horizontal="center" vertical="center"/>
    </xf>
    <xf numFmtId="37" fontId="28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center" vertical="top"/>
    </xf>
    <xf numFmtId="3" fontId="32" fillId="0" borderId="2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 vertical="center" indent="1"/>
    </xf>
    <xf numFmtId="37" fontId="32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left" vertical="center" wrapText="1" indent="1"/>
    </xf>
    <xf numFmtId="165" fontId="32" fillId="0" borderId="2" xfId="15" applyNumberFormat="1" applyFont="1" applyBorder="1" applyAlignment="1">
      <alignment horizontal="center" vertical="center" wrapText="1"/>
    </xf>
    <xf numFmtId="165" fontId="32" fillId="0" borderId="2" xfId="15" applyNumberFormat="1" applyFont="1" applyBorder="1" applyAlignment="1">
      <alignment horizontal="right"/>
    </xf>
    <xf numFmtId="0" fontId="32" fillId="0" borderId="2" xfId="0" applyFont="1" applyFill="1" applyBorder="1" applyAlignment="1">
      <alignment horizontal="center"/>
    </xf>
    <xf numFmtId="37" fontId="28" fillId="0" borderId="2" xfId="0" applyNumberFormat="1" applyFont="1" applyBorder="1" applyAlignment="1">
      <alignment horizontal="center"/>
    </xf>
    <xf numFmtId="37" fontId="28" fillId="0" borderId="2" xfId="0" applyNumberFormat="1" applyFont="1" applyBorder="1" applyAlignment="1">
      <alignment horizontal="right"/>
    </xf>
    <xf numFmtId="0" fontId="32" fillId="0" borderId="2" xfId="0" applyFont="1" applyBorder="1" applyAlignment="1">
      <alignment horizontal="center" vertical="center" wrapText="1"/>
    </xf>
    <xf numFmtId="37" fontId="32" fillId="0" borderId="2" xfId="0" applyNumberFormat="1" applyFont="1" applyBorder="1" applyAlignment="1">
      <alignment/>
    </xf>
    <xf numFmtId="165" fontId="28" fillId="0" borderId="2" xfId="15" applyNumberFormat="1" applyFont="1" applyBorder="1" applyAlignment="1" quotePrefix="1">
      <alignment horizontal="center"/>
    </xf>
    <xf numFmtId="165" fontId="28" fillId="0" borderId="2" xfId="15" applyNumberFormat="1" applyFont="1" applyBorder="1" applyAlignment="1">
      <alignment horizontal="right"/>
    </xf>
    <xf numFmtId="3" fontId="28" fillId="0" borderId="2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49" fontId="20" fillId="0" borderId="2" xfId="15" applyNumberFormat="1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65" fontId="19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3" fontId="13" fillId="0" borderId="2" xfId="15" applyFont="1" applyBorder="1" applyAlignment="1">
      <alignment/>
    </xf>
    <xf numFmtId="43" fontId="13" fillId="0" borderId="3" xfId="15" applyFont="1" applyBorder="1" applyAlignment="1">
      <alignment/>
    </xf>
    <xf numFmtId="0" fontId="28" fillId="0" borderId="3" xfId="0" applyFont="1" applyBorder="1" applyAlignment="1">
      <alignment horizontal="left" vertical="center" indent="1"/>
    </xf>
    <xf numFmtId="3" fontId="28" fillId="0" borderId="3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/>
    </xf>
    <xf numFmtId="165" fontId="17" fillId="0" borderId="0" xfId="15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15" fillId="0" borderId="2" xfId="15" applyNumberFormat="1" applyFont="1" applyFill="1" applyBorder="1" applyAlignment="1">
      <alignment horizontal="center"/>
    </xf>
    <xf numFmtId="165" fontId="13" fillId="0" borderId="12" xfId="15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/>
    </xf>
    <xf numFmtId="49" fontId="20" fillId="0" borderId="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39" fillId="0" borderId="2" xfId="15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65" fontId="1" fillId="0" borderId="0" xfId="15" applyNumberFormat="1" applyFont="1" applyFill="1" applyAlignment="1">
      <alignment/>
    </xf>
    <xf numFmtId="165" fontId="41" fillId="0" borderId="0" xfId="15" applyNumberFormat="1" applyFont="1" applyFill="1" applyAlignment="1">
      <alignment/>
    </xf>
    <xf numFmtId="165" fontId="42" fillId="0" borderId="0" xfId="15" applyNumberFormat="1" applyFont="1" applyFill="1" applyAlignment="1">
      <alignment/>
    </xf>
    <xf numFmtId="165" fontId="1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66" fontId="20" fillId="0" borderId="4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/>
    </xf>
    <xf numFmtId="49" fontId="39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165" fontId="43" fillId="0" borderId="0" xfId="15" applyNumberFormat="1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right"/>
    </xf>
    <xf numFmtId="164" fontId="28" fillId="0" borderId="1" xfId="15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 quotePrefix="1">
      <alignment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 quotePrefix="1">
      <alignment horizontal="center" vertical="center"/>
    </xf>
    <xf numFmtId="37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/>
    </xf>
    <xf numFmtId="0" fontId="32" fillId="0" borderId="2" xfId="0" applyFont="1" applyBorder="1" applyAlignment="1">
      <alignment horizontal="center" vertical="top"/>
    </xf>
    <xf numFmtId="0" fontId="32" fillId="0" borderId="3" xfId="0" applyFont="1" applyBorder="1" applyAlignment="1">
      <alignment horizontal="left" vertical="center"/>
    </xf>
    <xf numFmtId="0" fontId="32" fillId="0" borderId="3" xfId="0" applyFont="1" applyBorder="1" applyAlignment="1" quotePrefix="1">
      <alignment horizontal="center" vertical="center"/>
    </xf>
    <xf numFmtId="37" fontId="32" fillId="0" borderId="3" xfId="0" applyNumberFormat="1" applyFont="1" applyBorder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11" fillId="0" borderId="22" xfId="0" applyFont="1" applyFill="1" applyBorder="1" applyAlignment="1">
      <alignment/>
    </xf>
    <xf numFmtId="165" fontId="11" fillId="0" borderId="22" xfId="15" applyNumberFormat="1" applyFont="1" applyFill="1" applyBorder="1" applyAlignment="1">
      <alignment/>
    </xf>
    <xf numFmtId="0" fontId="11" fillId="0" borderId="23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65" fontId="11" fillId="0" borderId="24" xfId="15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justify"/>
    </xf>
    <xf numFmtId="165" fontId="6" fillId="0" borderId="5" xfId="15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1" fillId="0" borderId="8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165" fontId="0" fillId="0" borderId="8" xfId="15" applyNumberFormat="1" applyFont="1" applyFill="1" applyBorder="1" applyAlignment="1">
      <alignment/>
    </xf>
    <xf numFmtId="165" fontId="11" fillId="0" borderId="8" xfId="15" applyNumberFormat="1" applyFont="1" applyFill="1" applyBorder="1" applyAlignment="1">
      <alignment/>
    </xf>
    <xf numFmtId="0" fontId="11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165" fontId="11" fillId="0" borderId="12" xfId="15" applyNumberFormat="1" applyFont="1" applyFill="1" applyBorder="1" applyAlignment="1">
      <alignment/>
    </xf>
    <xf numFmtId="0" fontId="44" fillId="0" borderId="6" xfId="0" applyFont="1" applyFill="1" applyBorder="1" applyAlignment="1" quotePrefix="1">
      <alignment horizontal="left" indent="2"/>
    </xf>
    <xf numFmtId="165" fontId="44" fillId="0" borderId="6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13" fillId="0" borderId="0" xfId="15" applyNumberFormat="1" applyFont="1" applyFill="1" applyBorder="1" applyAlignment="1">
      <alignment/>
    </xf>
    <xf numFmtId="49" fontId="17" fillId="0" borderId="6" xfId="0" applyNumberFormat="1" applyFont="1" applyFill="1" applyBorder="1" applyAlignment="1">
      <alignment horizontal="left" indent="2"/>
    </xf>
    <xf numFmtId="14" fontId="17" fillId="0" borderId="6" xfId="0" applyNumberFormat="1" applyFont="1" applyFill="1" applyBorder="1" applyAlignment="1">
      <alignment horizontal="left"/>
    </xf>
    <xf numFmtId="0" fontId="17" fillId="0" borderId="6" xfId="0" applyFont="1" applyFill="1" applyBorder="1" applyAlignment="1">
      <alignment horizontal="left" indent="8"/>
    </xf>
    <xf numFmtId="165" fontId="5" fillId="0" borderId="0" xfId="15" applyNumberFormat="1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5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165" fontId="5" fillId="0" borderId="20" xfId="15" applyNumberFormat="1" applyFont="1" applyFill="1" applyBorder="1" applyAlignment="1">
      <alignment/>
    </xf>
    <xf numFmtId="165" fontId="6" fillId="0" borderId="2" xfId="15" applyNumberFormat="1" applyFont="1" applyFill="1" applyBorder="1" applyAlignment="1">
      <alignment horizontal="center"/>
    </xf>
    <xf numFmtId="165" fontId="6" fillId="0" borderId="3" xfId="15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15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165" fontId="0" fillId="0" borderId="3" xfId="15" applyNumberFormat="1" applyFill="1" applyBorder="1" applyAlignment="1">
      <alignment horizontal="center"/>
    </xf>
    <xf numFmtId="166" fontId="13" fillId="0" borderId="2" xfId="0" applyNumberFormat="1" applyFont="1" applyFill="1" applyBorder="1" applyAlignment="1">
      <alignment/>
    </xf>
    <xf numFmtId="43" fontId="17" fillId="0" borderId="0" xfId="15" applyFont="1" applyFill="1" applyBorder="1" applyAlignment="1">
      <alignment/>
    </xf>
    <xf numFmtId="165" fontId="13" fillId="0" borderId="0" xfId="0" applyNumberFormat="1" applyFont="1" applyAlignment="1">
      <alignment/>
    </xf>
    <xf numFmtId="165" fontId="13" fillId="2" borderId="0" xfId="15" applyNumberFormat="1" applyFont="1" applyFill="1" applyAlignment="1">
      <alignment/>
    </xf>
    <xf numFmtId="165" fontId="21" fillId="0" borderId="1" xfId="15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65" fontId="17" fillId="0" borderId="26" xfId="15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5" fontId="17" fillId="0" borderId="13" xfId="15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indent="1"/>
    </xf>
    <xf numFmtId="165" fontId="17" fillId="0" borderId="2" xfId="0" applyNumberFormat="1" applyFont="1" applyFill="1" applyBorder="1" applyAlignment="1">
      <alignment/>
    </xf>
    <xf numFmtId="199" fontId="17" fillId="0" borderId="2" xfId="15" applyNumberFormat="1" applyFont="1" applyFill="1" applyBorder="1" applyAlignment="1">
      <alignment/>
    </xf>
    <xf numFmtId="0" fontId="17" fillId="0" borderId="27" xfId="0" applyFont="1" applyFill="1" applyBorder="1" applyAlignment="1">
      <alignment/>
    </xf>
    <xf numFmtId="165" fontId="17" fillId="0" borderId="28" xfId="15" applyNumberFormat="1" applyFont="1" applyFill="1" applyBorder="1" applyAlignment="1">
      <alignment/>
    </xf>
    <xf numFmtId="165" fontId="17" fillId="0" borderId="29" xfId="15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32" fillId="0" borderId="4" xfId="15" applyNumberFormat="1" applyFont="1" applyFill="1" applyBorder="1" applyAlignment="1">
      <alignment/>
    </xf>
    <xf numFmtId="165" fontId="28" fillId="0" borderId="2" xfId="15" applyNumberFormat="1" applyFont="1" applyFill="1" applyBorder="1" applyAlignment="1">
      <alignment/>
    </xf>
    <xf numFmtId="165" fontId="32" fillId="0" borderId="2" xfId="15" applyNumberFormat="1" applyFont="1" applyFill="1" applyBorder="1" applyAlignment="1">
      <alignment/>
    </xf>
    <xf numFmtId="165" fontId="32" fillId="0" borderId="2" xfId="15" applyNumberFormat="1" applyFont="1" applyFill="1" applyBorder="1" applyAlignment="1">
      <alignment horizontal="center"/>
    </xf>
    <xf numFmtId="165" fontId="28" fillId="0" borderId="2" xfId="15" applyNumberFormat="1" applyFont="1" applyFill="1" applyBorder="1" applyAlignment="1">
      <alignment vertical="center" wrapText="1"/>
    </xf>
    <xf numFmtId="165" fontId="32" fillId="0" borderId="2" xfId="15" applyNumberFormat="1" applyFont="1" applyFill="1" applyBorder="1" applyAlignment="1">
      <alignment vertical="top"/>
    </xf>
    <xf numFmtId="165" fontId="28" fillId="0" borderId="2" xfId="15" applyNumberFormat="1" applyFont="1" applyFill="1" applyBorder="1" applyAlignment="1">
      <alignment vertical="center"/>
    </xf>
    <xf numFmtId="165" fontId="32" fillId="0" borderId="2" xfId="15" applyNumberFormat="1" applyFont="1" applyFill="1" applyBorder="1" applyAlignment="1">
      <alignment horizontal="right"/>
    </xf>
    <xf numFmtId="165" fontId="32" fillId="0" borderId="2" xfId="15" applyNumberFormat="1" applyFont="1" applyFill="1" applyBorder="1" applyAlignment="1">
      <alignment vertical="center" wrapText="1"/>
    </xf>
    <xf numFmtId="165" fontId="32" fillId="0" borderId="2" xfId="15" applyNumberFormat="1" applyFont="1" applyFill="1" applyBorder="1" applyAlignment="1">
      <alignment horizontal="center" vertical="center" wrapText="1"/>
    </xf>
    <xf numFmtId="165" fontId="32" fillId="0" borderId="2" xfId="15" applyNumberFormat="1" applyFont="1" applyFill="1" applyBorder="1" applyAlignment="1">
      <alignment/>
    </xf>
    <xf numFmtId="165" fontId="28" fillId="0" borderId="3" xfId="15" applyNumberFormat="1" applyFont="1" applyFill="1" applyBorder="1" applyAlignment="1">
      <alignment/>
    </xf>
    <xf numFmtId="165" fontId="32" fillId="0" borderId="2" xfId="15" applyNumberFormat="1" applyFont="1" applyFill="1" applyBorder="1" applyAlignment="1">
      <alignment vertical="center"/>
    </xf>
    <xf numFmtId="165" fontId="32" fillId="0" borderId="3" xfId="15" applyNumberFormat="1" applyFont="1" applyFill="1" applyBorder="1" applyAlignment="1">
      <alignment/>
    </xf>
    <xf numFmtId="165" fontId="45" fillId="0" borderId="6" xfId="15" applyNumberFormat="1" applyFont="1" applyFill="1" applyBorder="1" applyAlignment="1">
      <alignment horizontal="center"/>
    </xf>
    <xf numFmtId="165" fontId="46" fillId="0" borderId="6" xfId="15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/>
    </xf>
    <xf numFmtId="49" fontId="39" fillId="0" borderId="2" xfId="0" applyNumberFormat="1" applyFont="1" applyFill="1" applyBorder="1" applyAlignment="1">
      <alignment horizontal="left"/>
    </xf>
    <xf numFmtId="49" fontId="20" fillId="0" borderId="2" xfId="0" applyNumberFormat="1" applyFont="1" applyFill="1" applyBorder="1" applyAlignment="1">
      <alignment horizontal="left"/>
    </xf>
    <xf numFmtId="49" fontId="20" fillId="0" borderId="7" xfId="0" applyNumberFormat="1" applyFont="1" applyFill="1" applyBorder="1" applyAlignment="1">
      <alignment horizontal="left"/>
    </xf>
    <xf numFmtId="43" fontId="5" fillId="0" borderId="0" xfId="15" applyFont="1" applyFill="1" applyAlignment="1">
      <alignment/>
    </xf>
    <xf numFmtId="49" fontId="37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10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6" fontId="39" fillId="0" borderId="4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/>
    </xf>
    <xf numFmtId="165" fontId="5" fillId="0" borderId="11" xfId="15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5" fontId="37" fillId="0" borderId="0" xfId="15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0" fontId="1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6" fillId="0" borderId="0" xfId="15" applyNumberFormat="1" applyFont="1" applyAlignment="1">
      <alignment horizontal="center"/>
    </xf>
    <xf numFmtId="165" fontId="20" fillId="0" borderId="0" xfId="15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0" xfId="15" applyNumberFormat="1" applyFont="1" applyAlignment="1">
      <alignment/>
    </xf>
    <xf numFmtId="0" fontId="6" fillId="0" borderId="5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165" fontId="6" fillId="0" borderId="16" xfId="15" applyNumberFormat="1" applyFont="1" applyBorder="1" applyAlignment="1">
      <alignment horizontal="center" vertical="center"/>
    </xf>
    <xf numFmtId="165" fontId="6" fillId="0" borderId="17" xfId="15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65" fontId="17" fillId="0" borderId="5" xfId="15" applyNumberFormat="1" applyFont="1" applyFill="1" applyBorder="1" applyAlignment="1">
      <alignment horizontal="center" vertical="center"/>
    </xf>
    <xf numFmtId="165" fontId="17" fillId="0" borderId="8" xfId="15" applyNumberFormat="1" applyFont="1" applyFill="1" applyBorder="1" applyAlignment="1">
      <alignment horizontal="center" vertical="center"/>
    </xf>
    <xf numFmtId="165" fontId="17" fillId="0" borderId="12" xfId="15" applyNumberFormat="1" applyFont="1" applyFill="1" applyBorder="1" applyAlignment="1">
      <alignment horizontal="center" vertical="center"/>
    </xf>
    <xf numFmtId="165" fontId="17" fillId="0" borderId="5" xfId="15" applyNumberFormat="1" applyFont="1" applyFill="1" applyBorder="1" applyAlignment="1">
      <alignment horizontal="center" vertical="center" wrapText="1"/>
    </xf>
    <xf numFmtId="165" fontId="17" fillId="0" borderId="8" xfId="15" applyNumberFormat="1" applyFont="1" applyFill="1" applyBorder="1" applyAlignment="1">
      <alignment horizontal="center" vertical="center" wrapText="1"/>
    </xf>
    <xf numFmtId="165" fontId="17" fillId="0" borderId="12" xfId="15" applyNumberFormat="1" applyFont="1" applyFill="1" applyBorder="1" applyAlignment="1">
      <alignment horizontal="center" vertical="center" wrapText="1"/>
    </xf>
    <xf numFmtId="165" fontId="17" fillId="0" borderId="5" xfId="15" applyNumberFormat="1" applyFont="1" applyFill="1" applyBorder="1" applyAlignment="1">
      <alignment horizontal="center" vertical="justify"/>
    </xf>
    <xf numFmtId="165" fontId="17" fillId="0" borderId="8" xfId="15" applyNumberFormat="1" applyFont="1" applyFill="1" applyBorder="1" applyAlignment="1">
      <alignment horizontal="center" vertical="justify"/>
    </xf>
    <xf numFmtId="165" fontId="17" fillId="0" borderId="12" xfId="15" applyNumberFormat="1" applyFont="1" applyFill="1" applyBorder="1" applyAlignment="1">
      <alignment horizontal="center" vertical="justify"/>
    </xf>
    <xf numFmtId="0" fontId="21" fillId="0" borderId="1" xfId="0" applyFont="1" applyFill="1" applyBorder="1" applyAlignment="1">
      <alignment horizontal="center" vertical="center"/>
    </xf>
    <xf numFmtId="165" fontId="21" fillId="0" borderId="1" xfId="15" applyNumberFormat="1" applyFont="1" applyFill="1" applyBorder="1" applyAlignment="1">
      <alignment horizontal="center"/>
    </xf>
    <xf numFmtId="165" fontId="21" fillId="0" borderId="1" xfId="15" applyNumberFormat="1" applyFont="1" applyFill="1" applyBorder="1" applyAlignment="1">
      <alignment horizontal="center" vertical="center"/>
    </xf>
    <xf numFmtId="165" fontId="21" fillId="0" borderId="1" xfId="15" applyNumberFormat="1" applyFont="1" applyFill="1" applyBorder="1" applyAlignment="1">
      <alignment horizontal="center" vertical="justify"/>
    </xf>
    <xf numFmtId="165" fontId="17" fillId="0" borderId="0" xfId="15" applyNumberFormat="1" applyFont="1" applyFill="1" applyBorder="1" applyAlignment="1">
      <alignment horizontal="center"/>
    </xf>
    <xf numFmtId="165" fontId="6" fillId="0" borderId="0" xfId="15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44" fontId="33" fillId="0" borderId="0" xfId="17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5" fillId="0" borderId="0" xfId="15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QKD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0</xdr:row>
      <xdr:rowOff>0</xdr:rowOff>
    </xdr:from>
    <xdr:to>
      <xdr:col>12</xdr:col>
      <xdr:colOff>1114425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53125" y="0"/>
          <a:ext cx="2409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VNI-Times"/>
              <a:ea typeface="VNI-Times"/>
              <a:cs typeface="VNI-Times"/>
            </a:rPr>
            <a:t>Bieåu soá B02-DN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Ban haønh theo QÑ soá </a:t>
          </a:r>
          <a:r>
            <a:rPr lang="en-US" cap="none" sz="800" b="0" i="0" u="none" baseline="0">
              <a:latin typeface="VNI-Times"/>
              <a:ea typeface="VNI-Times"/>
              <a:cs typeface="VNI-Times"/>
            </a:rPr>
            <a:t> 15/2006/QÑ-BTC ngaøy 20/03/2006 cuûa Boä Tröôûng BTC)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oan\d\Hang\quyettoan\nam%202006\T12.0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guyen%20Hieu\NIEN%20DO%202006\GARMEX\GARMEX%209.3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g\data%20(d)\DAITRANG2002\Bao%20cao%20quyet%20toan%202007\Copy%20of%20QUYET%20TOAN%20QUY%204-2007D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EN GIAI CHI LUONG (2)"/>
      <sheetName val="Sheet4"/>
      <sheetName val="THU LAO HOI DONG QUAN TRI"/>
      <sheetName val="SO DU QJY"/>
      <sheetName val="LAI T10"/>
      <sheetName val="lai luy ke qt da tinh put"/>
      <sheetName val="lai luy ke theo quyet toan"/>
      <sheetName val="lai T7+8+9"/>
      <sheetName val="lai t5+6"/>
      <sheetName val="lai t4"/>
      <sheetName val="chi tiet lai 3T"/>
      <sheetName val="SSI"/>
      <sheetName val="can doi ke toancho ssi"/>
      <sheetName val="TMBCTC 1"/>
      <sheetName val="tmbc2"/>
      <sheetName val="TMBCTC3"/>
      <sheetName val="TMBCTC4 "/>
      <sheetName val="TMBCTC5"/>
      <sheetName val="dien giai TMBCTC"/>
      <sheetName val="DOANH THU"/>
      <sheetName val="Sheet3"/>
      <sheetName val="KQKoanh day du nam (2)"/>
      <sheetName val="KQKoanh day du nam"/>
      <sheetName val="ketqua kinh doanhdang day dy Q4"/>
      <sheetName val="Sheet2"/>
      <sheetName val="bang can doi phat sinh TONG HOP"/>
      <sheetName val="LACVIET"/>
      <sheetName val="can doi phat sinh chi TIETKTOAN"/>
      <sheetName val="bang can doi phat sinh chi tiet"/>
      <sheetName val="KINH PHI CONG DOAN LAM QTOAN"/>
      <sheetName val="KPCD2006"/>
      <sheetName val="BHXH2006 LAM QTOAN "/>
      <sheetName val="BHXH2006 DA LAMA.PHUONG SAI"/>
      <sheetName val="Sheet1"/>
      <sheetName val="bang can doi phat sinh chi  (2)"/>
      <sheetName val="bang can doi phat sinh chi 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bchdqt"/>
      <sheetName val="BCDKT"/>
      <sheetName val="KQKD"/>
      <sheetName val="LCTT-TT 05"/>
      <sheetName val="LCTT-GT"/>
      <sheetName val="TM"/>
    </sheetNames>
    <sheetDataSet>
      <sheetData sheetId="2">
        <row r="1">
          <cell r="A1" t="str">
            <v>COÂNG TY COÅ PHAÀN SAÛN XUAÁT-THÖÔNG MAÏI MAY SAØI GOØN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KT TOM LUOC-NOPCHUNG KHOAN OK"/>
      <sheetName val="KQKD TOM LUOC -NOP CHUNG KHOAN"/>
      <sheetName val="KQKDok"/>
      <sheetName val="CDKT-page3"/>
      <sheetName val="CDKT-page1-2 ok"/>
      <sheetName val="KET QUA KINH DOANH DAY DU (2)"/>
      <sheetName val="CD SDTK TH"/>
      <sheetName val="CD SDTK CT"/>
      <sheetName val="q4"/>
      <sheetName val="Sheet1"/>
      <sheetName val="TMBCTC 1-4"/>
      <sheetName val="TMBCTC 5"/>
      <sheetName val="TMBCTC 6"/>
      <sheetName val="TMBCTC 7"/>
      <sheetName val="TMBCTC 8"/>
      <sheetName val="LCTT DAY DU"/>
      <sheetName val="LCTT TOM LUOC"/>
      <sheetName val="25 DTHU DVU"/>
      <sheetName val="28-GVON DVU"/>
    </sheetNames>
    <sheetDataSet>
      <sheetData sheetId="11">
        <row r="32">
          <cell r="K32">
            <v>6031579000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D88"/>
  <sheetViews>
    <sheetView workbookViewId="0" topLeftCell="A31">
      <selection activeCell="D43" sqref="D43"/>
    </sheetView>
  </sheetViews>
  <sheetFormatPr defaultColWidth="8.796875" defaultRowHeight="15"/>
  <cols>
    <col min="1" max="1" width="6" style="100" customWidth="1"/>
    <col min="2" max="2" width="35.59765625" style="41" customWidth="1"/>
    <col min="3" max="3" width="18" style="41" customWidth="1"/>
    <col min="4" max="4" width="17.69921875" style="101" customWidth="1"/>
    <col min="5" max="16384" width="9" style="41" customWidth="1"/>
  </cols>
  <sheetData>
    <row r="1" spans="1:4" ht="17.25">
      <c r="A1" s="45" t="s">
        <v>509</v>
      </c>
      <c r="C1" s="1"/>
      <c r="D1" s="82"/>
    </row>
    <row r="2" spans="1:4" ht="17.25">
      <c r="A2" s="35" t="s">
        <v>512</v>
      </c>
      <c r="C2" s="1"/>
      <c r="D2" s="82"/>
    </row>
    <row r="3" spans="3:4" ht="17.25">
      <c r="C3" s="1"/>
      <c r="D3" s="82"/>
    </row>
    <row r="4" spans="3:4" ht="17.25">
      <c r="C4" s="82"/>
      <c r="D4" s="82"/>
    </row>
    <row r="5" spans="1:4" ht="21">
      <c r="A5" s="507" t="s">
        <v>631</v>
      </c>
      <c r="B5" s="507"/>
      <c r="C5" s="507"/>
      <c r="D5" s="507"/>
    </row>
    <row r="6" spans="1:4" ht="17.25">
      <c r="A6" s="509" t="s">
        <v>543</v>
      </c>
      <c r="B6" s="509"/>
      <c r="C6" s="509"/>
      <c r="D6" s="509"/>
    </row>
    <row r="7" spans="1:4" ht="17.25">
      <c r="A7" s="23"/>
      <c r="B7" s="23"/>
      <c r="C7" s="23"/>
      <c r="D7" s="23"/>
    </row>
    <row r="8" spans="1:4" ht="17.25">
      <c r="A8" s="508" t="s">
        <v>630</v>
      </c>
      <c r="B8" s="508"/>
      <c r="C8" s="508"/>
      <c r="D8" s="508"/>
    </row>
    <row r="9" spans="1:4" ht="17.25">
      <c r="A9" s="38"/>
      <c r="B9" s="23"/>
      <c r="C9" s="25"/>
      <c r="D9" s="25" t="s">
        <v>592</v>
      </c>
    </row>
    <row r="11" spans="1:4" s="24" customFormat="1" ht="16.5">
      <c r="A11" s="505" t="s">
        <v>436</v>
      </c>
      <c r="B11" s="503" t="s">
        <v>437</v>
      </c>
      <c r="C11" s="503" t="s">
        <v>707</v>
      </c>
      <c r="D11" s="503" t="s">
        <v>708</v>
      </c>
    </row>
    <row r="12" spans="1:4" s="24" customFormat="1" ht="16.5">
      <c r="A12" s="506"/>
      <c r="B12" s="504"/>
      <c r="C12" s="504"/>
      <c r="D12" s="504"/>
    </row>
    <row r="13" spans="1:4" s="21" customFormat="1" ht="18.75" customHeight="1">
      <c r="A13" s="121" t="s">
        <v>442</v>
      </c>
      <c r="B13" s="122" t="s">
        <v>705</v>
      </c>
      <c r="C13" s="123">
        <f>SUM(C14:C18)</f>
        <v>61573543523</v>
      </c>
      <c r="D13" s="123">
        <f>SUM(D14:D18)</f>
        <v>114187782710</v>
      </c>
    </row>
    <row r="14" spans="1:4" s="34" customFormat="1" ht="16.5">
      <c r="A14" s="60">
        <v>1</v>
      </c>
      <c r="B14" s="61" t="s">
        <v>706</v>
      </c>
      <c r="C14" s="28">
        <f>+'CDKT-page1-2 ok'!E15</f>
        <v>6825564352</v>
      </c>
      <c r="D14" s="28">
        <f>+'CDKT-page1-2 ok'!F15</f>
        <v>39647720150</v>
      </c>
    </row>
    <row r="15" spans="1:4" ht="17.25" customHeight="1">
      <c r="A15" s="60">
        <v>2</v>
      </c>
      <c r="B15" s="61" t="s">
        <v>445</v>
      </c>
      <c r="C15" s="28">
        <f>+'CDKT-page1-2 ok'!E18</f>
        <v>20000000</v>
      </c>
      <c r="D15" s="28">
        <f>+'CDKT-page1-2 ok'!F18</f>
        <v>20000000</v>
      </c>
    </row>
    <row r="16" spans="1:4" s="34" customFormat="1" ht="16.5">
      <c r="A16" s="60">
        <v>3</v>
      </c>
      <c r="B16" s="61" t="s">
        <v>709</v>
      </c>
      <c r="C16" s="28">
        <f>+'CDKT-page1-2 ok'!E21</f>
        <v>20097588781</v>
      </c>
      <c r="D16" s="28">
        <f>+'CDKT-page1-2 ok'!F21</f>
        <v>36275027326</v>
      </c>
    </row>
    <row r="17" spans="1:4" s="34" customFormat="1" ht="16.5">
      <c r="A17" s="60">
        <v>4</v>
      </c>
      <c r="B17" s="61" t="s">
        <v>454</v>
      </c>
      <c r="C17" s="28">
        <f>+'CDKT-page1-2 ok'!E28</f>
        <v>26875315102</v>
      </c>
      <c r="D17" s="28">
        <f>+'CDKT-page1-2 ok'!F28</f>
        <v>28387193227</v>
      </c>
    </row>
    <row r="18" spans="1:4" s="34" customFormat="1" ht="16.5">
      <c r="A18" s="60">
        <v>5</v>
      </c>
      <c r="B18" s="61" t="s">
        <v>594</v>
      </c>
      <c r="C18" s="28">
        <f>+'CDKT-page1-2 ok'!E31</f>
        <v>7755075288</v>
      </c>
      <c r="D18" s="28">
        <f>+'CDKT-page1-2 ok'!F31</f>
        <v>9857842007</v>
      </c>
    </row>
    <row r="19" spans="1:4" s="34" customFormat="1" ht="16.5" customHeight="1">
      <c r="A19" s="60"/>
      <c r="B19" s="61"/>
      <c r="C19" s="28"/>
      <c r="D19" s="28"/>
    </row>
    <row r="20" spans="1:4" s="34" customFormat="1" ht="16.5">
      <c r="A20" s="63" t="s">
        <v>444</v>
      </c>
      <c r="B20" s="64" t="s">
        <v>596</v>
      </c>
      <c r="C20" s="66">
        <f>SUM(C21:C29)-C22</f>
        <v>59856558941</v>
      </c>
      <c r="D20" s="66">
        <f>SUM(D21:D29)-D22</f>
        <v>67369768691</v>
      </c>
    </row>
    <row r="21" spans="1:4" s="21" customFormat="1" ht="16.5" customHeight="1">
      <c r="A21" s="60">
        <v>1</v>
      </c>
      <c r="B21" s="61" t="s">
        <v>318</v>
      </c>
      <c r="C21" s="28">
        <f>+'CDKT-page1-2 ok'!E37</f>
        <v>359966008</v>
      </c>
      <c r="D21" s="28">
        <f>+'CDKT-page1-2 ok'!F37</f>
        <v>325366008</v>
      </c>
    </row>
    <row r="22" spans="1:4" ht="17.25" customHeight="1">
      <c r="A22" s="60">
        <v>2</v>
      </c>
      <c r="B22" s="61" t="s">
        <v>600</v>
      </c>
      <c r="C22" s="28">
        <f>SUM(C23:C26)</f>
        <v>50824168939</v>
      </c>
      <c r="D22" s="28">
        <f>SUM(D23:D26)</f>
        <v>57060421181</v>
      </c>
    </row>
    <row r="23" spans="1:4" ht="17.25" customHeight="1">
      <c r="A23" s="60"/>
      <c r="B23" s="241" t="s">
        <v>457</v>
      </c>
      <c r="C23" s="28">
        <f>+'CDKT-page1-2 ok'!E44</f>
        <v>50824168939</v>
      </c>
      <c r="D23" s="28">
        <f>+'CDKT-page1-2 ok'!F44</f>
        <v>48598708605</v>
      </c>
    </row>
    <row r="24" spans="1:4" ht="17.25" customHeight="1">
      <c r="A24" s="78"/>
      <c r="B24" s="241" t="s">
        <v>461</v>
      </c>
      <c r="C24" s="81">
        <f>+'CDKT-page1-2 ok'!E50</f>
        <v>0</v>
      </c>
      <c r="D24" s="81">
        <f>+'CDKT-page1-2 ok'!F50</f>
        <v>63994880</v>
      </c>
    </row>
    <row r="25" spans="1:4" ht="17.25" customHeight="1">
      <c r="A25" s="78"/>
      <c r="B25" s="242" t="s">
        <v>460</v>
      </c>
      <c r="C25" s="81">
        <f>+'CDKT-page1-2 ok'!E47</f>
        <v>0</v>
      </c>
      <c r="D25" s="81">
        <f>+'CDKT-page1-2 ok'!F47</f>
        <v>0</v>
      </c>
    </row>
    <row r="26" spans="1:4" s="209" customFormat="1" ht="16.5" customHeight="1">
      <c r="A26" s="60"/>
      <c r="B26" s="241" t="s">
        <v>464</v>
      </c>
      <c r="C26" s="28">
        <f>+'CDKT-page1-2 ok'!E53</f>
        <v>0</v>
      </c>
      <c r="D26" s="28">
        <f>+'CDKT-page1-2 ok'!F53</f>
        <v>8397717696</v>
      </c>
    </row>
    <row r="27" spans="1:4" s="44" customFormat="1" ht="17.25">
      <c r="A27" s="60">
        <v>3</v>
      </c>
      <c r="B27" s="61" t="s">
        <v>604</v>
      </c>
      <c r="C27" s="28">
        <f>+'CDKT-page1-2 ok'!E54</f>
        <v>0</v>
      </c>
      <c r="D27" s="28">
        <f>+'CDKT-page1-2 ok'!F54</f>
        <v>0</v>
      </c>
    </row>
    <row r="28" spans="1:4" s="44" customFormat="1" ht="17.25">
      <c r="A28" s="60">
        <v>4</v>
      </c>
      <c r="B28" s="61" t="s">
        <v>462</v>
      </c>
      <c r="C28" s="28">
        <f>+'CDKT-page1-2 ok'!E57</f>
        <v>6202880000</v>
      </c>
      <c r="D28" s="28">
        <f>+'CDKT-page1-2 ok'!F57</f>
        <v>7533430000</v>
      </c>
    </row>
    <row r="29" spans="1:4" s="34" customFormat="1" ht="16.5">
      <c r="A29" s="71">
        <v>5</v>
      </c>
      <c r="B29" s="72" t="s">
        <v>610</v>
      </c>
      <c r="C29" s="74">
        <f>+'CDKT-page1-2 ok'!E62</f>
        <v>2469543994</v>
      </c>
      <c r="D29" s="74">
        <f>+'CDKT-page1-2 ok'!F62</f>
        <v>2450551502</v>
      </c>
    </row>
    <row r="30" spans="1:4" s="21" customFormat="1" ht="16.5">
      <c r="A30" s="243" t="s">
        <v>447</v>
      </c>
      <c r="B30" s="244" t="s">
        <v>319</v>
      </c>
      <c r="C30" s="206">
        <f>C13+C20</f>
        <v>121430102464</v>
      </c>
      <c r="D30" s="206">
        <f>D13+D20</f>
        <v>181557551401</v>
      </c>
    </row>
    <row r="31" spans="1:4" s="34" customFormat="1" ht="16.5">
      <c r="A31" s="63" t="s">
        <v>453</v>
      </c>
      <c r="B31" s="64" t="s">
        <v>467</v>
      </c>
      <c r="C31" s="66">
        <f>C32+C33</f>
        <v>81915900992</v>
      </c>
      <c r="D31" s="66">
        <f>D32+D33</f>
        <v>72856866201</v>
      </c>
    </row>
    <row r="32" spans="1:4" ht="17.25" customHeight="1">
      <c r="A32" s="60">
        <v>1</v>
      </c>
      <c r="B32" s="61" t="s">
        <v>468</v>
      </c>
      <c r="C32" s="28">
        <f>+'CDKT-page1-2 ok'!E70</f>
        <v>65365163351</v>
      </c>
      <c r="D32" s="28">
        <f>+'CDKT-page1-2 ok'!F70</f>
        <v>69506887276</v>
      </c>
    </row>
    <row r="33" spans="1:4" ht="17.25" customHeight="1">
      <c r="A33" s="60">
        <v>2</v>
      </c>
      <c r="B33" s="61" t="s">
        <v>474</v>
      </c>
      <c r="C33" s="28">
        <f>+'CDKT-page1-2 ok'!E81</f>
        <v>16550737641</v>
      </c>
      <c r="D33" s="28">
        <f>+'CDKT-page1-2 ok'!F81</f>
        <v>3349978925</v>
      </c>
    </row>
    <row r="34" spans="1:4" ht="17.25">
      <c r="A34" s="63" t="s">
        <v>455</v>
      </c>
      <c r="B34" s="64" t="s">
        <v>476</v>
      </c>
      <c r="C34" s="66">
        <f>+C35+C45</f>
        <v>39514201472</v>
      </c>
      <c r="D34" s="66">
        <f>+D35+D45</f>
        <v>108700685200</v>
      </c>
    </row>
    <row r="35" spans="1:4" ht="17.25">
      <c r="A35" s="63">
        <v>1</v>
      </c>
      <c r="B35" s="64" t="s">
        <v>620</v>
      </c>
      <c r="C35" s="66">
        <f>SUM(C36:C44)</f>
        <v>37683827343</v>
      </c>
      <c r="D35" s="66">
        <f>SUM(D36:D44)</f>
        <v>107847814089</v>
      </c>
    </row>
    <row r="36" spans="1:4" ht="17.25">
      <c r="A36" s="60"/>
      <c r="B36" s="241" t="s">
        <v>621</v>
      </c>
      <c r="C36" s="28">
        <f>+'CDKT-page1-2 ok'!E91</f>
        <v>22750000000</v>
      </c>
      <c r="D36" s="28">
        <f>+'CDKT-page1-2 ok'!F91</f>
        <v>46694970000</v>
      </c>
    </row>
    <row r="37" spans="1:4" ht="17.25">
      <c r="A37" s="60"/>
      <c r="B37" s="241" t="s">
        <v>622</v>
      </c>
      <c r="C37" s="28">
        <f>+'CDKT-page1-2 ok'!E92</f>
        <v>0</v>
      </c>
      <c r="D37" s="28">
        <f>+'CDKT-page1-2 ok'!F92</f>
        <v>47990911925</v>
      </c>
    </row>
    <row r="38" spans="1:4" ht="17.25" hidden="1">
      <c r="A38" s="60"/>
      <c r="B38" s="241" t="s">
        <v>321</v>
      </c>
      <c r="C38" s="28"/>
      <c r="D38" s="28"/>
    </row>
    <row r="39" spans="1:4" ht="17.25">
      <c r="A39" s="60"/>
      <c r="B39" s="241" t="s">
        <v>623</v>
      </c>
      <c r="C39" s="28">
        <f>+'CDKT-page1-2 ok'!E93</f>
        <v>-293000000</v>
      </c>
      <c r="D39" s="28">
        <f>+'CDKT-page1-2 ok'!F93</f>
        <v>-1500000</v>
      </c>
    </row>
    <row r="40" spans="1:4" ht="17.25">
      <c r="A40" s="60"/>
      <c r="B40" s="241" t="s">
        <v>477</v>
      </c>
      <c r="C40" s="28">
        <f>+'CDKT-page1-2 ok'!E94</f>
        <v>0</v>
      </c>
      <c r="D40" s="28">
        <f>+'CDKT-page1-2 ok'!F94</f>
        <v>0</v>
      </c>
    </row>
    <row r="41" spans="1:4" ht="17.25">
      <c r="A41" s="60"/>
      <c r="B41" s="241" t="s">
        <v>624</v>
      </c>
      <c r="C41" s="28">
        <f>+'CDKT-page1-2 ok'!E95</f>
        <v>0</v>
      </c>
      <c r="D41" s="28">
        <f>+'CDKT-page1-2 ok'!F95</f>
        <v>0</v>
      </c>
    </row>
    <row r="42" spans="1:4" ht="17.25">
      <c r="A42" s="60"/>
      <c r="B42" s="241" t="s">
        <v>322</v>
      </c>
      <c r="C42" s="28">
        <f>+'CDKT-page1-2 ok'!E96+'CDKT-page1-2 ok'!E97</f>
        <v>13879407343</v>
      </c>
      <c r="D42" s="28">
        <f>+'CDKT-page1-2 ok'!F96+'CDKT-page1-2 ok'!F97</f>
        <v>10431365450</v>
      </c>
    </row>
    <row r="43" spans="1:4" s="34" customFormat="1" ht="16.5">
      <c r="A43" s="60"/>
      <c r="B43" s="241" t="s">
        <v>323</v>
      </c>
      <c r="C43" s="28">
        <f>+'CDKT-page1-2 ok'!E99</f>
        <v>1347420000</v>
      </c>
      <c r="D43" s="28">
        <f>+'CDKT-page1-2 ok'!F99</f>
        <v>2732066714</v>
      </c>
    </row>
    <row r="44" spans="1:4" ht="17.25" customHeight="1" hidden="1">
      <c r="A44" s="60"/>
      <c r="B44" s="241" t="s">
        <v>320</v>
      </c>
      <c r="C44" s="28"/>
      <c r="D44" s="28"/>
    </row>
    <row r="45" spans="1:4" ht="17.25">
      <c r="A45" s="63">
        <v>2</v>
      </c>
      <c r="B45" s="64" t="s">
        <v>710</v>
      </c>
      <c r="C45" s="66">
        <f>SUM(C46:C48)</f>
        <v>1830374129</v>
      </c>
      <c r="D45" s="66">
        <f>SUM(D46:D48)</f>
        <v>852871111</v>
      </c>
    </row>
    <row r="46" spans="1:4" ht="17.25">
      <c r="A46" s="60"/>
      <c r="B46" s="241" t="s">
        <v>481</v>
      </c>
      <c r="C46" s="28">
        <f>+'CDKT-page1-2 ok'!E102</f>
        <v>1830374129</v>
      </c>
      <c r="D46" s="28">
        <f>+'CDKT-page1-2 ok'!F102</f>
        <v>852871111</v>
      </c>
    </row>
    <row r="47" spans="1:4" ht="17.25" customHeight="1">
      <c r="A47" s="60"/>
      <c r="B47" s="241" t="s">
        <v>626</v>
      </c>
      <c r="C47" s="28">
        <f>+'CDKT-page1-2 ok'!E103</f>
        <v>0</v>
      </c>
      <c r="D47" s="28">
        <f>+'CDKT-page1-2 ok'!F103</f>
        <v>0</v>
      </c>
    </row>
    <row r="48" spans="1:4" ht="17.25" customHeight="1">
      <c r="A48" s="71"/>
      <c r="B48" s="245" t="s">
        <v>493</v>
      </c>
      <c r="C48" s="28">
        <f>+'CDKT-page1-2 ok'!E104</f>
        <v>0</v>
      </c>
      <c r="D48" s="28">
        <f>+'CDKT-page1-2 ok'!F104</f>
        <v>0</v>
      </c>
    </row>
    <row r="49" spans="1:4" ht="17.25" customHeight="1">
      <c r="A49" s="211" t="s">
        <v>711</v>
      </c>
      <c r="B49" s="210" t="s">
        <v>712</v>
      </c>
      <c r="C49" s="206">
        <f>SUM(C31:C48)-C31-C34-C35-C45</f>
        <v>121430102464</v>
      </c>
      <c r="D49" s="206">
        <f>SUM(D31:D48)-D31-D34-D35-D45</f>
        <v>181557551401</v>
      </c>
    </row>
    <row r="50" spans="3:4" ht="17.25">
      <c r="C50" s="101">
        <f>+C49-C30</f>
        <v>0</v>
      </c>
      <c r="D50" s="101">
        <f>+D49-D30</f>
        <v>0</v>
      </c>
    </row>
    <row r="52" ht="17.25">
      <c r="C52" s="101"/>
    </row>
    <row r="53" ht="17.25">
      <c r="C53" s="101"/>
    </row>
    <row r="54" ht="17.25">
      <c r="C54" s="101"/>
    </row>
    <row r="55" ht="17.25">
      <c r="C55" s="101"/>
    </row>
    <row r="56" spans="1:4" ht="17.25">
      <c r="A56" s="41"/>
      <c r="D56" s="41"/>
    </row>
    <row r="57" spans="1:4" ht="17.25">
      <c r="A57" s="41"/>
      <c r="D57" s="41"/>
    </row>
    <row r="58" spans="1:4" ht="17.25" customHeight="1">
      <c r="A58" s="41"/>
      <c r="D58" s="41"/>
    </row>
    <row r="59" spans="1:4" ht="17.25">
      <c r="A59" s="41"/>
      <c r="D59" s="41"/>
    </row>
    <row r="60" spans="1:4" ht="17.25">
      <c r="A60" s="41"/>
      <c r="D60" s="41"/>
    </row>
    <row r="61" spans="1:4" ht="17.25">
      <c r="A61" s="41"/>
      <c r="D61" s="41"/>
    </row>
    <row r="62" spans="1:4" ht="17.25">
      <c r="A62" s="41"/>
      <c r="D62" s="41"/>
    </row>
    <row r="63" spans="1:4" ht="17.25">
      <c r="A63" s="41"/>
      <c r="D63" s="41"/>
    </row>
    <row r="64" spans="1:4" ht="17.25">
      <c r="A64" s="41"/>
      <c r="D64" s="41"/>
    </row>
    <row r="65" spans="1:4" ht="17.25">
      <c r="A65" s="41"/>
      <c r="D65" s="41"/>
    </row>
    <row r="66" spans="1:4" ht="17.25">
      <c r="A66" s="41"/>
      <c r="D66" s="41"/>
    </row>
    <row r="67" spans="1:4" ht="17.25">
      <c r="A67" s="41"/>
      <c r="D67" s="41"/>
    </row>
    <row r="68" spans="1:4" ht="17.25">
      <c r="A68" s="41"/>
      <c r="D68" s="41"/>
    </row>
    <row r="69" spans="1:4" ht="17.25">
      <c r="A69" s="41"/>
      <c r="D69" s="41"/>
    </row>
    <row r="70" s="24" customFormat="1" ht="17.25" customHeight="1"/>
    <row r="71" s="24" customFormat="1" ht="16.5"/>
    <row r="72" s="24" customFormat="1" ht="16.5"/>
    <row r="73" s="24" customFormat="1" ht="16.5"/>
    <row r="74" spans="1:4" s="24" customFormat="1" ht="17.25">
      <c r="A74" s="100"/>
      <c r="B74" s="41"/>
      <c r="C74" s="41"/>
      <c r="D74" s="101"/>
    </row>
    <row r="75" spans="1:4" s="24" customFormat="1" ht="17.25">
      <c r="A75" s="100"/>
      <c r="B75" s="41"/>
      <c r="C75" s="41"/>
      <c r="D75" s="101"/>
    </row>
    <row r="76" spans="1:4" s="24" customFormat="1" ht="17.25">
      <c r="A76" s="100"/>
      <c r="B76" s="41"/>
      <c r="C76" s="41"/>
      <c r="D76" s="101"/>
    </row>
    <row r="77" spans="1:4" s="24" customFormat="1" ht="17.25">
      <c r="A77" s="100"/>
      <c r="B77" s="41"/>
      <c r="C77" s="41"/>
      <c r="D77" s="101"/>
    </row>
    <row r="78" spans="1:4" s="24" customFormat="1" ht="17.25">
      <c r="A78" s="100"/>
      <c r="B78" s="41"/>
      <c r="C78" s="41"/>
      <c r="D78" s="101"/>
    </row>
    <row r="79" spans="1:4" s="24" customFormat="1" ht="17.25" customHeight="1">
      <c r="A79" s="100"/>
      <c r="B79" s="41"/>
      <c r="C79" s="41"/>
      <c r="D79" s="101"/>
    </row>
    <row r="80" spans="1:4" s="24" customFormat="1" ht="17.25">
      <c r="A80" s="100"/>
      <c r="B80" s="41"/>
      <c r="C80" s="41"/>
      <c r="D80" s="101"/>
    </row>
    <row r="81" spans="1:4" s="24" customFormat="1" ht="17.25">
      <c r="A81" s="100"/>
      <c r="B81" s="41"/>
      <c r="C81" s="41"/>
      <c r="D81" s="101"/>
    </row>
    <row r="82" spans="1:4" s="24" customFormat="1" ht="17.25">
      <c r="A82" s="100"/>
      <c r="B82" s="41"/>
      <c r="C82" s="41"/>
      <c r="D82" s="101"/>
    </row>
    <row r="83" spans="1:4" s="24" customFormat="1" ht="17.25">
      <c r="A83" s="100"/>
      <c r="B83" s="41"/>
      <c r="C83" s="41"/>
      <c r="D83" s="101"/>
    </row>
    <row r="84" spans="1:4" s="24" customFormat="1" ht="17.25">
      <c r="A84" s="100"/>
      <c r="B84" s="41"/>
      <c r="C84" s="41"/>
      <c r="D84" s="101"/>
    </row>
    <row r="85" spans="1:4" s="24" customFormat="1" ht="17.25">
      <c r="A85" s="100"/>
      <c r="B85" s="41"/>
      <c r="C85" s="41"/>
      <c r="D85" s="101"/>
    </row>
    <row r="86" spans="1:4" s="24" customFormat="1" ht="17.25">
      <c r="A86" s="100"/>
      <c r="B86" s="41"/>
      <c r="C86" s="41"/>
      <c r="D86" s="101"/>
    </row>
    <row r="87" spans="1:4" s="24" customFormat="1" ht="17.25">
      <c r="A87" s="100"/>
      <c r="B87" s="41"/>
      <c r="C87" s="41"/>
      <c r="D87" s="101"/>
    </row>
    <row r="88" spans="1:4" s="24" customFormat="1" ht="17.25">
      <c r="A88" s="100"/>
      <c r="B88" s="41"/>
      <c r="C88" s="41"/>
      <c r="D88" s="101"/>
    </row>
  </sheetData>
  <mergeCells count="7">
    <mergeCell ref="B11:B12"/>
    <mergeCell ref="A11:A12"/>
    <mergeCell ref="A5:D5"/>
    <mergeCell ref="A8:D8"/>
    <mergeCell ref="A6:D6"/>
    <mergeCell ref="C11:C12"/>
    <mergeCell ref="D11:D12"/>
  </mergeCells>
  <printOptions/>
  <pageMargins left="1.1" right="1.1" top="0" bottom="0" header="0.5" footer="0.5"/>
  <pageSetup horizontalDpi="600" verticalDpi="600" orientation="portrait" paperSize="9" scale="90" r:id="rId1"/>
  <headerFooter alignWithMargins="0">
    <oddFooter>&amp;RTrang &amp;P/2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53"/>
  <sheetViews>
    <sheetView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8.796875" defaultRowHeight="15"/>
  <cols>
    <col min="1" max="1" width="3.8984375" style="127" customWidth="1"/>
    <col min="2" max="2" width="24.5" style="127" customWidth="1"/>
    <col min="3" max="3" width="14.5" style="212" customWidth="1"/>
    <col min="4" max="4" width="14.3984375" style="212" customWidth="1"/>
    <col min="5" max="5" width="9.69921875" style="212" customWidth="1"/>
    <col min="6" max="6" width="15.3984375" style="212" customWidth="1"/>
    <col min="7" max="7" width="15.59765625" style="212" customWidth="1"/>
    <col min="8" max="8" width="8.8984375" style="212" customWidth="1"/>
    <col min="9" max="9" width="13.19921875" style="212" customWidth="1"/>
    <col min="10" max="10" width="14" style="212" customWidth="1"/>
    <col min="11" max="11" width="13.3984375" style="212" customWidth="1"/>
    <col min="12" max="12" width="13.09765625" style="212" bestFit="1" customWidth="1"/>
    <col min="13" max="15" width="9" style="212" customWidth="1"/>
    <col min="16" max="16384" width="9" style="127" customWidth="1"/>
  </cols>
  <sheetData>
    <row r="1" ht="12.75">
      <c r="B1" s="137" t="s">
        <v>195</v>
      </c>
    </row>
    <row r="2" spans="2:9" ht="12.75">
      <c r="B2" s="546" t="s">
        <v>174</v>
      </c>
      <c r="C2" s="547" t="s">
        <v>635</v>
      </c>
      <c r="D2" s="547"/>
      <c r="E2" s="547"/>
      <c r="F2" s="547" t="s">
        <v>634</v>
      </c>
      <c r="G2" s="547"/>
      <c r="H2" s="547"/>
      <c r="I2" s="215"/>
    </row>
    <row r="3" spans="2:9" ht="12.75">
      <c r="B3" s="546"/>
      <c r="C3" s="548" t="s">
        <v>196</v>
      </c>
      <c r="D3" s="549" t="s">
        <v>197</v>
      </c>
      <c r="E3" s="549" t="s">
        <v>198</v>
      </c>
      <c r="F3" s="548" t="s">
        <v>196</v>
      </c>
      <c r="G3" s="549" t="s">
        <v>197</v>
      </c>
      <c r="H3" s="549" t="s">
        <v>198</v>
      </c>
      <c r="I3" s="215"/>
    </row>
    <row r="4" spans="2:9" ht="33" customHeight="1">
      <c r="B4" s="546"/>
      <c r="C4" s="548"/>
      <c r="D4" s="549"/>
      <c r="E4" s="549"/>
      <c r="F4" s="548"/>
      <c r="G4" s="549"/>
      <c r="H4" s="549"/>
      <c r="I4" s="215"/>
    </row>
    <row r="5" spans="2:9" ht="12.75">
      <c r="B5" s="154" t="s">
        <v>199</v>
      </c>
      <c r="C5" s="172">
        <v>3397330000</v>
      </c>
      <c r="D5" s="172">
        <f>+C5</f>
        <v>3397330000</v>
      </c>
      <c r="E5" s="172"/>
      <c r="F5" s="172">
        <v>2275000000</v>
      </c>
      <c r="G5" s="172">
        <f>+F5</f>
        <v>2275000000</v>
      </c>
      <c r="H5" s="172"/>
      <c r="I5" s="212">
        <f>+C6+C5-'CDKT-page1-2 ok'!F91</f>
        <v>0</v>
      </c>
    </row>
    <row r="6" spans="2:9" ht="12.75">
      <c r="B6" s="156" t="s">
        <v>200</v>
      </c>
      <c r="C6" s="155">
        <f>46694970000-C5</f>
        <v>43297640000</v>
      </c>
      <c r="D6" s="155">
        <f>+C6</f>
        <v>43297640000</v>
      </c>
      <c r="E6" s="155"/>
      <c r="F6" s="172">
        <f>22750000000-F5</f>
        <v>20475000000</v>
      </c>
      <c r="G6" s="172">
        <f>+F6</f>
        <v>20475000000</v>
      </c>
      <c r="H6" s="155"/>
      <c r="I6" s="212">
        <f>+C7-'CDKT-page1-2 ok'!F92</f>
        <v>0</v>
      </c>
    </row>
    <row r="7" spans="2:8" ht="12.75">
      <c r="B7" s="156" t="s">
        <v>622</v>
      </c>
      <c r="C7" s="155">
        <v>47990911925</v>
      </c>
      <c r="D7" s="155">
        <f>+C7</f>
        <v>47990911925</v>
      </c>
      <c r="E7" s="155"/>
      <c r="F7" s="155">
        <v>0</v>
      </c>
      <c r="G7" s="155">
        <v>0</v>
      </c>
      <c r="H7" s="155"/>
    </row>
    <row r="8" spans="2:8" ht="12.75">
      <c r="B8" s="213" t="s">
        <v>623</v>
      </c>
      <c r="C8" s="214">
        <v>0</v>
      </c>
      <c r="D8" s="214"/>
      <c r="E8" s="214"/>
      <c r="F8" s="214">
        <v>-293000000</v>
      </c>
      <c r="G8" s="214">
        <v>-293000000</v>
      </c>
      <c r="H8" s="214"/>
    </row>
    <row r="9" spans="2:8" ht="12.75">
      <c r="B9" s="216" t="s">
        <v>142</v>
      </c>
      <c r="C9" s="217">
        <f aca="true" t="shared" si="0" ref="C9:H9">SUM(C5:C8)</f>
        <v>94685881925</v>
      </c>
      <c r="D9" s="217">
        <f t="shared" si="0"/>
        <v>94685881925</v>
      </c>
      <c r="E9" s="217">
        <f t="shared" si="0"/>
        <v>0</v>
      </c>
      <c r="F9" s="217">
        <f t="shared" si="0"/>
        <v>22457000000</v>
      </c>
      <c r="G9" s="217">
        <f t="shared" si="0"/>
        <v>22457000000</v>
      </c>
      <c r="H9" s="217">
        <f t="shared" si="0"/>
        <v>0</v>
      </c>
    </row>
    <row r="10" spans="2:8" ht="12.75">
      <c r="B10" s="160" t="s">
        <v>201</v>
      </c>
      <c r="C10" s="161"/>
      <c r="D10" s="161"/>
      <c r="E10" s="161"/>
      <c r="F10" s="161"/>
      <c r="G10" s="161"/>
      <c r="H10" s="161"/>
    </row>
    <row r="11" spans="2:8" ht="12.75">
      <c r="B11" s="126"/>
      <c r="C11" s="140"/>
      <c r="D11" s="140"/>
      <c r="E11" s="140"/>
      <c r="F11" s="147" t="s">
        <v>44</v>
      </c>
      <c r="G11" s="147" t="s">
        <v>634</v>
      </c>
      <c r="H11" s="140"/>
    </row>
    <row r="12" spans="2:8" ht="12.75">
      <c r="B12" s="125" t="s">
        <v>202</v>
      </c>
      <c r="C12" s="140"/>
      <c r="D12" s="140"/>
      <c r="E12" s="140"/>
      <c r="F12" s="140"/>
      <c r="G12" s="140"/>
      <c r="H12" s="140"/>
    </row>
    <row r="13" spans="2:8" ht="12.75">
      <c r="B13" s="218" t="s">
        <v>203</v>
      </c>
      <c r="C13" s="140"/>
      <c r="D13" s="140"/>
      <c r="E13" s="140"/>
      <c r="F13" s="140"/>
      <c r="G13" s="140"/>
      <c r="H13" s="140"/>
    </row>
    <row r="14" spans="2:8" ht="12.75">
      <c r="B14" s="219" t="s">
        <v>204</v>
      </c>
      <c r="C14" s="126"/>
      <c r="D14" s="219"/>
      <c r="E14" s="140"/>
      <c r="F14" s="140">
        <f>+G17</f>
        <v>22750000000</v>
      </c>
      <c r="G14" s="140">
        <v>22750000000</v>
      </c>
      <c r="H14" s="140"/>
    </row>
    <row r="15" spans="2:8" ht="12.75">
      <c r="B15" s="219" t="s">
        <v>205</v>
      </c>
      <c r="C15" s="126"/>
      <c r="D15" s="219"/>
      <c r="E15" s="140"/>
      <c r="F15" s="140">
        <f>+C6+C5-F14</f>
        <v>23944970000</v>
      </c>
      <c r="G15" s="140">
        <v>0</v>
      </c>
      <c r="H15" s="140"/>
    </row>
    <row r="16" spans="2:8" ht="12.75">
      <c r="B16" s="219" t="s">
        <v>206</v>
      </c>
      <c r="C16" s="126"/>
      <c r="D16" s="219"/>
      <c r="E16" s="140"/>
      <c r="F16" s="140"/>
      <c r="G16" s="140">
        <v>0</v>
      </c>
      <c r="H16" s="140"/>
    </row>
    <row r="17" spans="2:9" ht="12.75">
      <c r="B17" s="219" t="s">
        <v>207</v>
      </c>
      <c r="C17" s="126"/>
      <c r="D17" s="219"/>
      <c r="E17" s="140"/>
      <c r="F17" s="140">
        <f>+F15+F14-F16</f>
        <v>46694970000</v>
      </c>
      <c r="G17" s="140">
        <f>+G14+G15-G16</f>
        <v>22750000000</v>
      </c>
      <c r="H17" s="140"/>
      <c r="I17" s="212">
        <f>+F17-C6-C5</f>
        <v>0</v>
      </c>
    </row>
    <row r="18" spans="2:9" ht="12.75">
      <c r="B18" s="218" t="s">
        <v>208</v>
      </c>
      <c r="C18" s="140"/>
      <c r="D18" s="140"/>
      <c r="E18" s="140"/>
      <c r="F18" s="140">
        <f>+'TMBCTC 5'!K32</f>
        <v>6031579000</v>
      </c>
      <c r="G18" s="140">
        <v>4042080000</v>
      </c>
      <c r="H18" s="140"/>
      <c r="I18" s="212">
        <f>+F18-'TMBCTC 5'!K32</f>
        <v>0</v>
      </c>
    </row>
    <row r="19" spans="2:8" ht="12.75">
      <c r="B19" s="126"/>
      <c r="C19" s="140"/>
      <c r="D19" s="140"/>
      <c r="E19" s="140"/>
      <c r="F19" s="140"/>
      <c r="G19" s="140"/>
      <c r="H19" s="140"/>
    </row>
    <row r="20" spans="2:8" ht="12.75">
      <c r="B20" s="125" t="s">
        <v>209</v>
      </c>
      <c r="C20" s="142"/>
      <c r="D20" s="142"/>
      <c r="E20" s="142"/>
      <c r="F20" s="142" t="s">
        <v>635</v>
      </c>
      <c r="G20" s="142" t="s">
        <v>634</v>
      </c>
      <c r="H20" s="140"/>
    </row>
    <row r="21" spans="2:8" ht="12.75">
      <c r="B21" s="220" t="s">
        <v>210</v>
      </c>
      <c r="C21" s="140"/>
      <c r="D21" s="140"/>
      <c r="E21" s="140"/>
      <c r="F21" s="142">
        <f>+F22+E23</f>
        <v>6031579000</v>
      </c>
      <c r="G21" s="142">
        <f>+G22+F23</f>
        <v>4042080000</v>
      </c>
      <c r="H21" s="140"/>
    </row>
    <row r="22" spans="2:8" ht="12.75">
      <c r="B22" s="221" t="s">
        <v>211</v>
      </c>
      <c r="C22" s="140"/>
      <c r="D22" s="140"/>
      <c r="E22" s="140"/>
      <c r="F22" s="140">
        <f>+F18</f>
        <v>6031579000</v>
      </c>
      <c r="G22" s="140">
        <f>+G18</f>
        <v>4042080000</v>
      </c>
      <c r="H22" s="140"/>
    </row>
    <row r="23" spans="2:8" ht="12.75">
      <c r="B23" s="221" t="s">
        <v>212</v>
      </c>
      <c r="C23" s="140"/>
      <c r="D23" s="140"/>
      <c r="E23" s="140"/>
      <c r="F23" s="140"/>
      <c r="G23" s="140"/>
      <c r="H23" s="140"/>
    </row>
    <row r="24" spans="2:8" ht="12.75">
      <c r="B24" s="221"/>
      <c r="C24" s="140"/>
      <c r="D24" s="140"/>
      <c r="E24" s="140"/>
      <c r="F24" s="140"/>
      <c r="G24" s="140"/>
      <c r="H24" s="140"/>
    </row>
    <row r="25" spans="2:8" ht="12.75">
      <c r="B25" s="220" t="s">
        <v>213</v>
      </c>
      <c r="C25" s="140"/>
      <c r="D25" s="140"/>
      <c r="E25" s="140"/>
      <c r="F25" s="140"/>
      <c r="G25" s="140"/>
      <c r="H25" s="140"/>
    </row>
    <row r="26" spans="2:8" ht="12.75">
      <c r="B26" s="126"/>
      <c r="C26" s="140"/>
      <c r="D26" s="140"/>
      <c r="E26" s="140"/>
      <c r="F26" s="140"/>
      <c r="G26" s="140"/>
      <c r="H26" s="140"/>
    </row>
    <row r="27" spans="2:8" ht="12.75">
      <c r="B27" s="125" t="s">
        <v>214</v>
      </c>
      <c r="C27" s="140"/>
      <c r="D27" s="140"/>
      <c r="E27" s="140"/>
      <c r="F27" s="142" t="s">
        <v>635</v>
      </c>
      <c r="G27" s="142" t="s">
        <v>634</v>
      </c>
      <c r="H27" s="140"/>
    </row>
    <row r="28" spans="2:8" ht="12.75">
      <c r="B28" s="135" t="s">
        <v>215</v>
      </c>
      <c r="C28" s="140"/>
      <c r="D28" s="140"/>
      <c r="E28" s="140"/>
      <c r="F28" s="140">
        <f>+(C5+C6)/10000</f>
        <v>4669497</v>
      </c>
      <c r="G28" s="140">
        <v>2275000</v>
      </c>
      <c r="H28" s="140"/>
    </row>
    <row r="29" spans="2:8" ht="12.75">
      <c r="B29" s="135" t="s">
        <v>216</v>
      </c>
      <c r="C29" s="140"/>
      <c r="D29" s="140"/>
      <c r="E29" s="140"/>
      <c r="F29" s="140">
        <f>+F30</f>
        <v>4669497</v>
      </c>
      <c r="G29" s="140">
        <v>2275000</v>
      </c>
      <c r="H29" s="140"/>
    </row>
    <row r="30" spans="2:8" ht="12.75">
      <c r="B30" s="181" t="s">
        <v>217</v>
      </c>
      <c r="C30" s="140"/>
      <c r="D30" s="140"/>
      <c r="E30" s="140"/>
      <c r="F30" s="140">
        <f>+F28</f>
        <v>4669497</v>
      </c>
      <c r="G30" s="140">
        <v>2275000</v>
      </c>
      <c r="H30" s="140"/>
    </row>
    <row r="31" spans="2:8" ht="12.75">
      <c r="B31" s="181" t="s">
        <v>218</v>
      </c>
      <c r="C31" s="140"/>
      <c r="D31" s="140"/>
      <c r="E31" s="140"/>
      <c r="F31" s="140">
        <f>+G31</f>
        <v>0</v>
      </c>
      <c r="G31" s="140">
        <v>0</v>
      </c>
      <c r="H31" s="140"/>
    </row>
    <row r="32" spans="2:8" ht="12.75">
      <c r="B32" s="135" t="s">
        <v>219</v>
      </c>
      <c r="C32" s="140"/>
      <c r="D32" s="140"/>
      <c r="E32" s="140"/>
      <c r="F32" s="140">
        <f>+F33</f>
        <v>60</v>
      </c>
      <c r="G32" s="140">
        <v>29300</v>
      </c>
      <c r="H32" s="140"/>
    </row>
    <row r="33" spans="2:8" ht="12.75">
      <c r="B33" s="416" t="s">
        <v>217</v>
      </c>
      <c r="C33" s="140"/>
      <c r="D33" s="140"/>
      <c r="E33" s="140"/>
      <c r="F33" s="417">
        <f>1500000/25000</f>
        <v>60</v>
      </c>
      <c r="G33" s="140">
        <v>29300</v>
      </c>
      <c r="H33" s="140"/>
    </row>
    <row r="34" spans="2:8" ht="12.75">
      <c r="B34" s="181" t="s">
        <v>218</v>
      </c>
      <c r="C34" s="140"/>
      <c r="D34" s="140"/>
      <c r="E34" s="140"/>
      <c r="F34" s="140">
        <f>+G34</f>
        <v>0</v>
      </c>
      <c r="G34" s="140">
        <v>0</v>
      </c>
      <c r="H34" s="140"/>
    </row>
    <row r="35" spans="2:8" ht="12.75">
      <c r="B35" s="135" t="s">
        <v>220</v>
      </c>
      <c r="C35" s="140"/>
      <c r="D35" s="140"/>
      <c r="E35" s="140"/>
      <c r="F35" s="140">
        <f>+F36</f>
        <v>4669437</v>
      </c>
      <c r="G35" s="140">
        <v>2245700</v>
      </c>
      <c r="H35" s="140"/>
    </row>
    <row r="36" spans="2:8" ht="12.75">
      <c r="B36" s="181" t="s">
        <v>217</v>
      </c>
      <c r="C36" s="140"/>
      <c r="D36" s="140"/>
      <c r="E36" s="140"/>
      <c r="F36" s="140">
        <f>+F28-F33</f>
        <v>4669437</v>
      </c>
      <c r="G36" s="140">
        <v>2245700</v>
      </c>
      <c r="H36" s="140"/>
    </row>
    <row r="37" spans="2:8" ht="12.75">
      <c r="B37" s="181" t="s">
        <v>218</v>
      </c>
      <c r="C37" s="140"/>
      <c r="D37" s="140"/>
      <c r="E37" s="140"/>
      <c r="F37" s="140"/>
      <c r="G37" s="140"/>
      <c r="H37" s="140"/>
    </row>
    <row r="38" spans="2:8" ht="12.75">
      <c r="B38" s="126"/>
      <c r="C38" s="140"/>
      <c r="D38" s="140"/>
      <c r="E38" s="140"/>
      <c r="F38" s="140"/>
      <c r="G38" s="140"/>
      <c r="H38" s="140"/>
    </row>
    <row r="39" spans="2:8" ht="12.75">
      <c r="B39" s="126" t="s">
        <v>221</v>
      </c>
      <c r="C39" s="140">
        <v>10000</v>
      </c>
      <c r="D39" s="140" t="s">
        <v>46</v>
      </c>
      <c r="E39" s="140"/>
      <c r="F39" s="140"/>
      <c r="G39" s="140"/>
      <c r="H39" s="140"/>
    </row>
    <row r="40" spans="2:8" ht="12.75">
      <c r="B40" s="126"/>
      <c r="C40" s="140"/>
      <c r="D40" s="140"/>
      <c r="E40" s="140"/>
      <c r="F40" s="140"/>
      <c r="G40" s="140"/>
      <c r="H40" s="140"/>
    </row>
    <row r="41" spans="2:8" ht="12.75">
      <c r="B41" s="125" t="s">
        <v>222</v>
      </c>
      <c r="C41" s="140"/>
      <c r="D41" s="140"/>
      <c r="E41" s="140"/>
      <c r="F41" s="140"/>
      <c r="G41" s="140"/>
      <c r="H41" s="140"/>
    </row>
    <row r="42" spans="2:8" ht="12.75">
      <c r="B42" s="135" t="s">
        <v>223</v>
      </c>
      <c r="C42" s="140"/>
      <c r="D42" s="140"/>
      <c r="E42" s="140"/>
      <c r="F42" s="140">
        <f>+'CDKT-page1-2 ok'!F96</f>
        <v>8529736928</v>
      </c>
      <c r="G42" s="140">
        <v>12685321582</v>
      </c>
      <c r="H42" s="140"/>
    </row>
    <row r="43" spans="2:8" ht="12.75">
      <c r="B43" s="135" t="s">
        <v>224</v>
      </c>
      <c r="C43" s="140"/>
      <c r="D43" s="140"/>
      <c r="E43" s="140"/>
      <c r="F43" s="140">
        <f>+'CDKT-page1-2 ok'!F97</f>
        <v>1901628522</v>
      </c>
      <c r="G43" s="140">
        <v>1194085761</v>
      </c>
      <c r="H43" s="140"/>
    </row>
    <row r="44" spans="2:8" ht="12.75">
      <c r="B44" s="125" t="s">
        <v>225</v>
      </c>
      <c r="C44" s="140"/>
      <c r="D44" s="140"/>
      <c r="E44" s="140"/>
      <c r="F44" s="140"/>
      <c r="G44" s="140"/>
      <c r="H44" s="140"/>
    </row>
    <row r="45" spans="2:8" ht="12.75">
      <c r="B45" s="126"/>
      <c r="C45" s="140"/>
      <c r="D45" s="140"/>
      <c r="E45" s="140"/>
      <c r="F45" s="140"/>
      <c r="G45" s="140"/>
      <c r="H45" s="140"/>
    </row>
    <row r="46" spans="2:8" ht="12.75">
      <c r="B46" s="125" t="s">
        <v>226</v>
      </c>
      <c r="C46" s="140"/>
      <c r="D46" s="140"/>
      <c r="E46" s="140"/>
      <c r="F46" s="140"/>
      <c r="G46" s="140"/>
      <c r="H46" s="140"/>
    </row>
    <row r="47" spans="2:8" ht="12.75">
      <c r="B47" s="125" t="s">
        <v>227</v>
      </c>
      <c r="C47" s="140"/>
      <c r="D47" s="140"/>
      <c r="E47" s="140"/>
      <c r="F47" s="140"/>
      <c r="G47" s="140"/>
      <c r="H47" s="140"/>
    </row>
    <row r="48" spans="2:8" ht="12.75">
      <c r="B48" s="125"/>
      <c r="C48" s="140"/>
      <c r="D48" s="140"/>
      <c r="E48" s="140"/>
      <c r="F48" s="140"/>
      <c r="G48" s="140"/>
      <c r="H48" s="140"/>
    </row>
    <row r="49" spans="2:8" ht="12.75">
      <c r="B49" s="125" t="s">
        <v>228</v>
      </c>
      <c r="C49" s="140"/>
      <c r="D49" s="140"/>
      <c r="E49" s="140"/>
      <c r="F49" s="147" t="s">
        <v>229</v>
      </c>
      <c r="G49" s="147" t="s">
        <v>634</v>
      </c>
      <c r="H49" s="140"/>
    </row>
    <row r="50" spans="2:8" ht="12.75">
      <c r="B50" s="135" t="s">
        <v>230</v>
      </c>
      <c r="C50" s="140"/>
      <c r="D50" s="140"/>
      <c r="E50" s="140"/>
      <c r="F50" s="140">
        <f>+G50</f>
        <v>19000000</v>
      </c>
      <c r="G50" s="140">
        <v>19000000</v>
      </c>
      <c r="H50" s="140"/>
    </row>
    <row r="51" spans="2:8" ht="12.75">
      <c r="B51" s="135" t="s">
        <v>231</v>
      </c>
      <c r="C51" s="140"/>
      <c r="D51" s="140"/>
      <c r="E51" s="140"/>
      <c r="F51" s="140">
        <f>+G51</f>
        <v>-19000000</v>
      </c>
      <c r="G51" s="140">
        <v>-19000000</v>
      </c>
      <c r="H51" s="140"/>
    </row>
    <row r="52" spans="2:8" ht="12.75">
      <c r="B52" s="135" t="s">
        <v>232</v>
      </c>
      <c r="C52" s="140"/>
      <c r="D52" s="140"/>
      <c r="E52" s="140"/>
      <c r="F52" s="140">
        <f>+F50+F51</f>
        <v>0</v>
      </c>
      <c r="G52" s="140">
        <f>+G50+G51</f>
        <v>0</v>
      </c>
      <c r="H52" s="140"/>
    </row>
    <row r="53" spans="2:8" ht="12.75">
      <c r="B53" s="125" t="s">
        <v>233</v>
      </c>
      <c r="C53" s="140"/>
      <c r="D53" s="140"/>
      <c r="E53" s="140"/>
      <c r="F53" s="140"/>
      <c r="G53" s="140"/>
      <c r="H53" s="140"/>
    </row>
  </sheetData>
  <mergeCells count="9">
    <mergeCell ref="B2:B4"/>
    <mergeCell ref="C2:E2"/>
    <mergeCell ref="F2:H2"/>
    <mergeCell ref="C3:C4"/>
    <mergeCell ref="D3:D4"/>
    <mergeCell ref="E3:E4"/>
    <mergeCell ref="F3:F4"/>
    <mergeCell ref="G3:G4"/>
    <mergeCell ref="H3:H4"/>
  </mergeCells>
  <printOptions/>
  <pageMargins left="0.5" right="0" top="1" bottom="1" header="0.5" footer="0.5"/>
  <pageSetup horizontalDpi="600" verticalDpi="600" orientation="portrait" paperSize="9" scale="80" r:id="rId1"/>
  <headerFooter alignWithMargins="0">
    <oddFooter>&amp;C&amp;8TMBCTC QUÝ 4/2007&amp;R&amp;8Trang 6/8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B1">
      <pane xSplit="1" ySplit="2" topLeftCell="E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52" sqref="F52"/>
    </sheetView>
  </sheetViews>
  <sheetFormatPr defaultColWidth="8.796875" defaultRowHeight="15"/>
  <cols>
    <col min="1" max="1" width="3.8984375" style="127" customWidth="1"/>
    <col min="2" max="2" width="24.5" style="127" customWidth="1"/>
    <col min="3" max="3" width="14.5" style="212" customWidth="1"/>
    <col min="4" max="4" width="15.59765625" style="212" customWidth="1"/>
    <col min="5" max="5" width="15.3984375" style="212" bestFit="1" customWidth="1"/>
    <col min="6" max="6" width="15.3984375" style="212" customWidth="1"/>
    <col min="7" max="7" width="15.59765625" style="212" customWidth="1"/>
    <col min="8" max="16384" width="9" style="127" customWidth="1"/>
  </cols>
  <sheetData>
    <row r="1" spans="1:7" ht="12.75">
      <c r="A1" s="125" t="s">
        <v>234</v>
      </c>
      <c r="B1" s="126"/>
      <c r="C1" s="140"/>
      <c r="D1" s="140"/>
      <c r="E1" s="140"/>
      <c r="F1" s="140"/>
      <c r="G1" s="140"/>
    </row>
    <row r="2" spans="1:7" ht="12.75">
      <c r="A2" s="126"/>
      <c r="B2" s="126"/>
      <c r="C2" s="140"/>
      <c r="D2" s="140"/>
      <c r="E2" s="140"/>
      <c r="F2" s="147" t="s">
        <v>229</v>
      </c>
      <c r="G2" s="147" t="s">
        <v>634</v>
      </c>
    </row>
    <row r="3" spans="1:7" ht="12.75">
      <c r="A3" s="126"/>
      <c r="B3" s="125" t="s">
        <v>235</v>
      </c>
      <c r="C3" s="140"/>
      <c r="D3" s="140"/>
      <c r="E3" s="140">
        <f>+F3-KQKDok!G13</f>
        <v>0</v>
      </c>
      <c r="F3" s="142">
        <f>F4+F6</f>
        <v>356268083983</v>
      </c>
      <c r="G3" s="142">
        <f>+G4+G6</f>
        <v>223568847885</v>
      </c>
    </row>
    <row r="4" spans="1:7" ht="12.75">
      <c r="A4" s="126"/>
      <c r="B4" s="181" t="s">
        <v>236</v>
      </c>
      <c r="C4" s="140"/>
      <c r="D4" s="140"/>
      <c r="E4" s="140"/>
      <c r="F4" s="140">
        <f>349363420599+6545465627+359197757-F6</f>
        <v>353637886690</v>
      </c>
      <c r="G4" s="140">
        <f>223568847885-G6</f>
        <v>221118790498</v>
      </c>
    </row>
    <row r="5" spans="1:7" ht="12.75">
      <c r="A5" s="126"/>
      <c r="B5" s="55" t="s">
        <v>292</v>
      </c>
      <c r="C5" s="140"/>
      <c r="D5" s="140"/>
      <c r="E5" s="140"/>
      <c r="F5" s="140">
        <f>349363420599</f>
        <v>349363420599</v>
      </c>
      <c r="G5" s="140">
        <v>217939387952</v>
      </c>
    </row>
    <row r="6" spans="1:7" ht="12.75">
      <c r="A6" s="126"/>
      <c r="B6" s="181" t="s">
        <v>237</v>
      </c>
      <c r="C6" s="140"/>
      <c r="D6" s="140"/>
      <c r="E6" s="140"/>
      <c r="F6" s="140">
        <v>2630197293</v>
      </c>
      <c r="G6" s="140">
        <v>2450057387</v>
      </c>
    </row>
    <row r="7" spans="1:7" ht="12.75">
      <c r="A7" s="126"/>
      <c r="B7" s="143" t="s">
        <v>238</v>
      </c>
      <c r="C7" s="140"/>
      <c r="D7" s="140"/>
      <c r="E7" s="140">
        <f>+F7-KQKDok!G14</f>
        <v>0</v>
      </c>
      <c r="F7" s="142">
        <f>SUM(F8:F11)</f>
        <v>359197757</v>
      </c>
      <c r="G7" s="142">
        <f>SUM(G8:G11)</f>
        <v>416949900</v>
      </c>
    </row>
    <row r="8" spans="1:7" ht="12.75">
      <c r="A8" s="126"/>
      <c r="B8" s="139" t="s">
        <v>239</v>
      </c>
      <c r="C8" s="140"/>
      <c r="D8" s="140"/>
      <c r="E8" s="140"/>
      <c r="F8" s="140"/>
      <c r="G8" s="140"/>
    </row>
    <row r="9" spans="1:7" ht="12.75">
      <c r="A9" s="126"/>
      <c r="B9" s="139" t="s">
        <v>240</v>
      </c>
      <c r="C9" s="140"/>
      <c r="D9" s="140"/>
      <c r="E9" s="140"/>
      <c r="F9" s="140">
        <v>359197757</v>
      </c>
      <c r="G9" s="140">
        <f>416949900-G10</f>
        <v>412749900</v>
      </c>
    </row>
    <row r="10" spans="1:7" ht="12.75">
      <c r="A10" s="126"/>
      <c r="B10" s="139" t="s">
        <v>283</v>
      </c>
      <c r="C10" s="140"/>
      <c r="D10" s="140"/>
      <c r="E10" s="140"/>
      <c r="F10" s="140"/>
      <c r="G10" s="140">
        <v>4200000</v>
      </c>
    </row>
    <row r="11" spans="1:7" ht="8.25" customHeight="1">
      <c r="A11" s="126"/>
      <c r="B11" s="139"/>
      <c r="C11" s="140"/>
      <c r="D11" s="140"/>
      <c r="E11" s="140"/>
      <c r="F11" s="140"/>
      <c r="G11" s="140"/>
    </row>
    <row r="12" spans="1:7" ht="12.75">
      <c r="A12" s="126"/>
      <c r="B12" s="143" t="s">
        <v>241</v>
      </c>
      <c r="C12" s="140"/>
      <c r="D12" s="140"/>
      <c r="E12" s="140">
        <f>+F12-KQKDok!G15</f>
        <v>0</v>
      </c>
      <c r="F12" s="142">
        <f>F13+F14</f>
        <v>355908886226</v>
      </c>
      <c r="G12" s="142">
        <f>G13+G14</f>
        <v>223151897985</v>
      </c>
    </row>
    <row r="13" spans="1:7" ht="12.75">
      <c r="A13" s="126"/>
      <c r="B13" s="146" t="s">
        <v>242</v>
      </c>
      <c r="C13" s="140"/>
      <c r="D13" s="140"/>
      <c r="E13" s="140"/>
      <c r="F13" s="140">
        <f>+F4-F9</f>
        <v>353278688933</v>
      </c>
      <c r="G13" s="140">
        <f>+G4-G9-G10</f>
        <v>220701840598</v>
      </c>
    </row>
    <row r="14" spans="1:7" ht="12.75">
      <c r="A14" s="126"/>
      <c r="B14" s="146" t="s">
        <v>243</v>
      </c>
      <c r="C14" s="140"/>
      <c r="D14" s="140"/>
      <c r="E14" s="140"/>
      <c r="F14" s="140">
        <f>+F6</f>
        <v>2630197293</v>
      </c>
      <c r="G14" s="140">
        <f>+G6</f>
        <v>2450057387</v>
      </c>
    </row>
    <row r="15" spans="1:7" ht="12.75">
      <c r="A15" s="126"/>
      <c r="B15" s="125" t="s">
        <v>244</v>
      </c>
      <c r="C15" s="142"/>
      <c r="D15" s="142"/>
      <c r="E15" s="142">
        <f>+F15-KQKDok!G16</f>
        <v>0</v>
      </c>
      <c r="F15" s="142">
        <f>+F17+F16</f>
        <v>267706080576</v>
      </c>
      <c r="G15" s="142">
        <f>+G17+G16</f>
        <v>168518339287</v>
      </c>
    </row>
    <row r="16" spans="1:7" ht="12.75">
      <c r="A16" s="126"/>
      <c r="B16" s="135" t="s">
        <v>284</v>
      </c>
      <c r="C16" s="140"/>
      <c r="D16" s="140"/>
      <c r="E16" s="140"/>
      <c r="F16" s="140">
        <f>+KQKDok!G16-F17</f>
        <v>266185983007</v>
      </c>
      <c r="G16" s="140">
        <f>168518339287-G17</f>
        <v>167995255212</v>
      </c>
    </row>
    <row r="17" spans="1:7" ht="12.75">
      <c r="A17" s="126"/>
      <c r="B17" s="135" t="s">
        <v>245</v>
      </c>
      <c r="C17" s="140"/>
      <c r="D17" s="140"/>
      <c r="E17" s="140"/>
      <c r="F17" s="140">
        <v>1520097569</v>
      </c>
      <c r="G17" s="140">
        <v>523084075</v>
      </c>
    </row>
    <row r="18" spans="1:7" ht="9" customHeight="1">
      <c r="A18" s="126"/>
      <c r="B18" s="135"/>
      <c r="C18" s="140"/>
      <c r="D18" s="140"/>
      <c r="E18" s="140"/>
      <c r="F18" s="140"/>
      <c r="G18" s="140"/>
    </row>
    <row r="19" spans="1:7" ht="12.75">
      <c r="A19" s="126"/>
      <c r="B19" s="125" t="s">
        <v>246</v>
      </c>
      <c r="C19" s="140"/>
      <c r="D19" s="140"/>
      <c r="E19" s="140"/>
      <c r="F19" s="223" t="s">
        <v>229</v>
      </c>
      <c r="G19" s="223" t="s">
        <v>634</v>
      </c>
    </row>
    <row r="20" spans="1:7" ht="12.75">
      <c r="A20" s="126"/>
      <c r="B20" s="135" t="s">
        <v>247</v>
      </c>
      <c r="C20" s="140"/>
      <c r="D20" s="140"/>
      <c r="E20" s="140"/>
      <c r="F20" s="140">
        <f>624440649</f>
        <v>624440649</v>
      </c>
      <c r="G20" s="140">
        <v>68041226</v>
      </c>
    </row>
    <row r="21" spans="1:7" ht="12.75">
      <c r="A21" s="126"/>
      <c r="B21" s="135" t="s">
        <v>248</v>
      </c>
      <c r="C21" s="140"/>
      <c r="D21" s="140"/>
      <c r="E21" s="140"/>
      <c r="F21" s="140">
        <v>0</v>
      </c>
      <c r="G21" s="140"/>
    </row>
    <row r="22" spans="1:7" ht="12.75">
      <c r="A22" s="126"/>
      <c r="B22" s="135" t="s">
        <v>293</v>
      </c>
      <c r="C22" s="140"/>
      <c r="D22" s="140"/>
      <c r="E22" s="140"/>
      <c r="F22" s="140">
        <v>100720000</v>
      </c>
      <c r="G22" s="140"/>
    </row>
    <row r="23" spans="1:7" ht="12.75">
      <c r="A23" s="126"/>
      <c r="B23" s="135" t="s">
        <v>249</v>
      </c>
      <c r="C23" s="140"/>
      <c r="D23" s="140"/>
      <c r="E23" s="140"/>
      <c r="F23" s="140">
        <v>0</v>
      </c>
      <c r="G23" s="140"/>
    </row>
    <row r="24" spans="1:7" ht="12.75">
      <c r="A24" s="126"/>
      <c r="B24" s="135" t="s">
        <v>250</v>
      </c>
      <c r="C24" s="140"/>
      <c r="D24" s="140"/>
      <c r="E24" s="140">
        <f>+KQKDok!G18-F20-F22-F24</f>
        <v>0</v>
      </c>
      <c r="F24" s="140">
        <v>1056816392</v>
      </c>
      <c r="G24" s="140">
        <v>260841774</v>
      </c>
    </row>
    <row r="25" spans="1:7" ht="12.75">
      <c r="A25" s="126"/>
      <c r="B25" s="135" t="s">
        <v>251</v>
      </c>
      <c r="C25" s="140"/>
      <c r="D25" s="140"/>
      <c r="E25" s="140">
        <f>+F25-KQKDok!G24</f>
        <v>0</v>
      </c>
      <c r="F25" s="140">
        <f>SUM(F26:F32)</f>
        <v>562934302</v>
      </c>
      <c r="G25" s="140"/>
    </row>
    <row r="26" spans="1:7" ht="12.75">
      <c r="A26" s="126"/>
      <c r="B26" s="55" t="s">
        <v>675</v>
      </c>
      <c r="C26" s="140"/>
      <c r="D26" s="140"/>
      <c r="E26" s="140"/>
      <c r="F26" s="140">
        <v>15100000</v>
      </c>
      <c r="G26" s="140"/>
    </row>
    <row r="27" spans="1:7" ht="12.75">
      <c r="A27" s="126"/>
      <c r="B27" s="55" t="s">
        <v>673</v>
      </c>
      <c r="C27" s="140"/>
      <c r="D27" s="140"/>
      <c r="E27" s="140"/>
      <c r="F27" s="140">
        <v>5090909</v>
      </c>
      <c r="G27" s="140"/>
    </row>
    <row r="28" spans="1:7" ht="12.75">
      <c r="A28" s="126"/>
      <c r="B28" s="55" t="s">
        <v>674</v>
      </c>
      <c r="C28" s="140"/>
      <c r="D28" s="140"/>
      <c r="E28" s="140"/>
      <c r="F28" s="140">
        <v>156000000</v>
      </c>
      <c r="G28" s="140"/>
    </row>
    <row r="29" spans="1:7" ht="12.75">
      <c r="A29" s="126"/>
      <c r="B29" s="55" t="s">
        <v>140</v>
      </c>
      <c r="C29" s="140"/>
      <c r="D29" s="140"/>
      <c r="E29" s="140"/>
      <c r="F29" s="140">
        <v>3000000</v>
      </c>
      <c r="G29" s="140"/>
    </row>
    <row r="30" spans="1:7" ht="12.75">
      <c r="A30" s="126"/>
      <c r="B30" s="55" t="s">
        <v>341</v>
      </c>
      <c r="C30" s="140"/>
      <c r="D30" s="140"/>
      <c r="E30" s="140"/>
      <c r="F30" s="140">
        <v>301974980</v>
      </c>
      <c r="G30" s="140"/>
    </row>
    <row r="31" spans="1:7" ht="12.75">
      <c r="A31" s="126"/>
      <c r="B31" s="269" t="s">
        <v>342</v>
      </c>
      <c r="C31" s="270"/>
      <c r="D31" s="270"/>
      <c r="E31" s="270"/>
      <c r="F31" s="140">
        <v>35268413</v>
      </c>
      <c r="G31" s="140"/>
    </row>
    <row r="32" spans="1:7" ht="12.75">
      <c r="A32" s="126"/>
      <c r="B32" s="55" t="s">
        <v>141</v>
      </c>
      <c r="C32" s="270"/>
      <c r="D32" s="270"/>
      <c r="E32" s="270"/>
      <c r="F32" s="140">
        <v>46500000</v>
      </c>
      <c r="G32" s="140"/>
    </row>
    <row r="33" spans="1:7" ht="12.75">
      <c r="A33" s="126"/>
      <c r="B33" s="222" t="s">
        <v>142</v>
      </c>
      <c r="C33" s="140"/>
      <c r="D33" s="140"/>
      <c r="E33" s="140">
        <f>+F33-KQKDok!G18-KQKDok!G24</f>
        <v>0</v>
      </c>
      <c r="F33" s="142">
        <f>SUM(F20:F25)</f>
        <v>2344911343</v>
      </c>
      <c r="G33" s="142">
        <f>SUM(G20:G25)</f>
        <v>328883000</v>
      </c>
    </row>
    <row r="34" spans="1:7" ht="12.75">
      <c r="A34" s="126"/>
      <c r="B34" s="125" t="s">
        <v>258</v>
      </c>
      <c r="C34" s="142"/>
      <c r="D34" s="142"/>
      <c r="E34" s="142"/>
      <c r="F34" s="223" t="s">
        <v>229</v>
      </c>
      <c r="G34" s="223" t="s">
        <v>634</v>
      </c>
    </row>
    <row r="35" spans="1:7" ht="12.75">
      <c r="A35" s="126"/>
      <c r="B35" s="135" t="s">
        <v>259</v>
      </c>
      <c r="C35" s="142"/>
      <c r="D35" s="142"/>
      <c r="E35" s="142">
        <f>+F35-KQKDok!G20</f>
        <v>0</v>
      </c>
      <c r="F35" s="224">
        <f>3868195667</f>
        <v>3868195667</v>
      </c>
      <c r="G35" s="224">
        <v>3723805268</v>
      </c>
    </row>
    <row r="36" spans="1:7" ht="12.75">
      <c r="A36" s="126"/>
      <c r="B36" s="126" t="s">
        <v>260</v>
      </c>
      <c r="C36" s="142"/>
      <c r="D36" s="140">
        <v>4155198249</v>
      </c>
      <c r="E36" s="142"/>
      <c r="F36" s="224"/>
      <c r="G36" s="224"/>
    </row>
    <row r="37" spans="1:7" ht="12.75">
      <c r="A37" s="126"/>
      <c r="B37" s="126" t="s">
        <v>261</v>
      </c>
      <c r="C37" s="142"/>
      <c r="D37" s="224">
        <v>287002582</v>
      </c>
      <c r="E37" s="142"/>
      <c r="F37" s="224"/>
      <c r="G37" s="224"/>
    </row>
    <row r="38" spans="1:7" ht="12.75">
      <c r="A38" s="126"/>
      <c r="B38" s="185" t="s">
        <v>262</v>
      </c>
      <c r="C38" s="142"/>
      <c r="D38" s="224">
        <f>+D36-D37</f>
        <v>3868195667</v>
      </c>
      <c r="E38" s="142" t="s">
        <v>148</v>
      </c>
      <c r="F38" s="224"/>
      <c r="G38" s="224"/>
    </row>
    <row r="39" spans="1:7" ht="12.75">
      <c r="A39" s="126"/>
      <c r="B39" s="135" t="s">
        <v>263</v>
      </c>
      <c r="C39" s="140"/>
      <c r="D39" s="151"/>
      <c r="E39" s="140">
        <f>+KQKDok!G19-KQKDok!G20-F39-F40</f>
        <v>0</v>
      </c>
      <c r="F39" s="224">
        <f>1282479754-F40</f>
        <v>1212545179</v>
      </c>
      <c r="G39" s="224">
        <v>472366387</v>
      </c>
    </row>
    <row r="40" spans="1:7" ht="12.75">
      <c r="A40" s="126"/>
      <c r="B40" s="135" t="s">
        <v>727</v>
      </c>
      <c r="C40" s="140"/>
      <c r="D40" s="140"/>
      <c r="E40" s="140"/>
      <c r="F40" s="224">
        <v>69934575</v>
      </c>
      <c r="G40" s="224">
        <v>16279138</v>
      </c>
    </row>
    <row r="41" spans="1:7" ht="14.25">
      <c r="A41" s="126"/>
      <c r="B41" s="135" t="s">
        <v>136</v>
      </c>
      <c r="C41" s="140"/>
      <c r="D41" s="485"/>
      <c r="E41" s="140">
        <f>+F41-KQKDok!G25</f>
        <v>0</v>
      </c>
      <c r="F41" s="224">
        <v>76083018</v>
      </c>
      <c r="G41" s="140"/>
    </row>
    <row r="42" spans="1:7" ht="12.75">
      <c r="A42" s="126"/>
      <c r="B42" s="135" t="s">
        <v>264</v>
      </c>
      <c r="C42" s="140"/>
      <c r="D42" s="140"/>
      <c r="E42" s="140"/>
      <c r="F42" s="140"/>
      <c r="G42" s="140"/>
    </row>
    <row r="43" spans="1:7" ht="12.75">
      <c r="A43" s="126"/>
      <c r="B43" s="222" t="s">
        <v>142</v>
      </c>
      <c r="C43" s="140"/>
      <c r="D43" s="140"/>
      <c r="E43" s="140">
        <f>+KQKDok!G25+KQKDok!G19-F43</f>
        <v>0</v>
      </c>
      <c r="F43" s="142">
        <f>SUM(F35:F42)</f>
        <v>5226758439</v>
      </c>
      <c r="G43" s="142">
        <f>SUM(G35:G42)</f>
        <v>4212450793</v>
      </c>
    </row>
    <row r="44" spans="1:7" ht="12.75">
      <c r="A44" s="126"/>
      <c r="B44" s="125" t="s">
        <v>265</v>
      </c>
      <c r="C44" s="142"/>
      <c r="D44" s="142"/>
      <c r="E44" s="142"/>
      <c r="F44" s="223" t="s">
        <v>229</v>
      </c>
      <c r="G44" s="223" t="s">
        <v>634</v>
      </c>
    </row>
    <row r="45" spans="1:7" ht="12.75">
      <c r="A45" s="126"/>
      <c r="B45" s="135" t="s">
        <v>266</v>
      </c>
      <c r="C45" s="142"/>
      <c r="D45" s="142"/>
      <c r="E45" s="142"/>
      <c r="F45" s="224">
        <f>+KQKDok!G28</f>
        <v>3159794919</v>
      </c>
      <c r="G45" s="223">
        <f>+KQKDok!H33+KQKDok!H34</f>
        <v>2413715366.6</v>
      </c>
    </row>
    <row r="46" spans="1:7" ht="12.75">
      <c r="A46" s="126"/>
      <c r="B46" s="135" t="s">
        <v>267</v>
      </c>
      <c r="C46" s="142"/>
      <c r="D46" s="142"/>
      <c r="E46" s="142"/>
      <c r="F46" s="223"/>
      <c r="G46" s="223"/>
    </row>
    <row r="47" spans="1:7" ht="12.75">
      <c r="A47" s="126"/>
      <c r="B47" s="126" t="s">
        <v>268</v>
      </c>
      <c r="C47" s="142"/>
      <c r="D47" s="142"/>
      <c r="E47" s="142"/>
      <c r="F47" s="223"/>
      <c r="G47" s="223"/>
    </row>
    <row r="48" spans="1:7" ht="12.75">
      <c r="A48" s="126"/>
      <c r="B48" s="135" t="s">
        <v>269</v>
      </c>
      <c r="C48" s="142"/>
      <c r="D48" s="142"/>
      <c r="E48" s="142">
        <f>+F48-KQKDok!G28</f>
        <v>0</v>
      </c>
      <c r="F48" s="223">
        <f>+F45-F46</f>
        <v>3159794919</v>
      </c>
      <c r="G48" s="223">
        <f>+G45-G46</f>
        <v>2413715366.6</v>
      </c>
    </row>
    <row r="49" spans="1:7" ht="12.75">
      <c r="A49" s="126"/>
      <c r="B49" s="125" t="s">
        <v>270</v>
      </c>
      <c r="C49" s="142"/>
      <c r="D49" s="142"/>
      <c r="E49" s="142"/>
      <c r="F49" s="223"/>
      <c r="G49" s="223"/>
    </row>
    <row r="50" spans="1:7" ht="12.75">
      <c r="A50" s="126"/>
      <c r="B50" s="125" t="s">
        <v>271</v>
      </c>
      <c r="C50" s="142"/>
      <c r="D50" s="142"/>
      <c r="E50" s="142"/>
      <c r="F50" s="223"/>
      <c r="G50" s="223"/>
    </row>
    <row r="51" spans="1:7" ht="12.75">
      <c r="A51" s="126"/>
      <c r="B51" s="135" t="s">
        <v>272</v>
      </c>
      <c r="C51" s="140"/>
      <c r="D51" s="140"/>
      <c r="E51" s="140"/>
      <c r="F51" s="140">
        <v>113567937647</v>
      </c>
      <c r="G51" s="140">
        <v>66026270480</v>
      </c>
    </row>
    <row r="52" spans="1:7" ht="12.75">
      <c r="A52" s="126"/>
      <c r="B52" s="135" t="s">
        <v>273</v>
      </c>
      <c r="C52" s="140"/>
      <c r="D52" s="140"/>
      <c r="E52" s="140"/>
      <c r="F52" s="140">
        <v>45856551370</v>
      </c>
      <c r="G52" s="140">
        <v>18817134281</v>
      </c>
    </row>
    <row r="53" spans="1:7" ht="12.75">
      <c r="A53" s="126"/>
      <c r="B53" s="135" t="s">
        <v>274</v>
      </c>
      <c r="C53" s="140"/>
      <c r="D53" s="140"/>
      <c r="E53" s="140"/>
      <c r="F53" s="140">
        <v>1797186398</v>
      </c>
      <c r="G53" s="140">
        <v>1070954042</v>
      </c>
    </row>
    <row r="54" spans="1:7" ht="12.75">
      <c r="A54" s="126"/>
      <c r="B54" s="135" t="s">
        <v>275</v>
      </c>
      <c r="C54" s="140"/>
      <c r="D54" s="140"/>
      <c r="E54" s="140"/>
      <c r="F54" s="140">
        <v>69949693</v>
      </c>
      <c r="G54" s="140">
        <v>241638932</v>
      </c>
    </row>
    <row r="55" spans="1:7" ht="12.75">
      <c r="A55" s="126"/>
      <c r="B55" s="135" t="s">
        <v>276</v>
      </c>
      <c r="C55" s="140"/>
      <c r="D55" s="140"/>
      <c r="E55" s="140"/>
      <c r="F55" s="140">
        <v>1074564689</v>
      </c>
      <c r="G55" s="140">
        <v>606691393</v>
      </c>
    </row>
    <row r="56" spans="1:7" ht="12.75">
      <c r="A56" s="126"/>
      <c r="B56" s="135" t="s">
        <v>277</v>
      </c>
      <c r="C56" s="140"/>
      <c r="D56" s="140"/>
      <c r="E56" s="140"/>
      <c r="F56" s="140">
        <v>105192275</v>
      </c>
      <c r="G56" s="140">
        <v>64134050</v>
      </c>
    </row>
    <row r="57" spans="1:7" ht="12.75">
      <c r="A57" s="126"/>
      <c r="B57" s="135" t="s">
        <v>278</v>
      </c>
      <c r="C57" s="142"/>
      <c r="D57" s="140"/>
      <c r="E57" s="142"/>
      <c r="F57" s="140">
        <v>83089201855</v>
      </c>
      <c r="G57" s="140">
        <v>64721074545</v>
      </c>
    </row>
    <row r="58" spans="1:7" ht="12.75">
      <c r="A58" s="126"/>
      <c r="B58" s="135" t="s">
        <v>279</v>
      </c>
      <c r="C58" s="142"/>
      <c r="D58" s="140"/>
      <c r="E58" s="142"/>
      <c r="F58" s="140">
        <v>5625965945</v>
      </c>
      <c r="G58" s="140">
        <v>3177803199</v>
      </c>
    </row>
    <row r="59" spans="1:7" ht="12.75">
      <c r="A59" s="126"/>
      <c r="B59" s="135" t="s">
        <v>280</v>
      </c>
      <c r="C59" s="142"/>
      <c r="D59" s="140"/>
      <c r="E59" s="142"/>
      <c r="F59" s="140">
        <v>14428650541</v>
      </c>
      <c r="G59" s="140">
        <v>12880106167</v>
      </c>
    </row>
    <row r="60" spans="1:7" ht="12.75">
      <c r="A60" s="126"/>
      <c r="B60" s="135" t="s">
        <v>281</v>
      </c>
      <c r="C60" s="142"/>
      <c r="D60" s="140"/>
      <c r="E60" s="142"/>
      <c r="F60" s="140">
        <v>2090880163</v>
      </c>
      <c r="G60" s="140">
        <v>912532198</v>
      </c>
    </row>
    <row r="61" spans="1:7" ht="12.75">
      <c r="A61" s="126"/>
      <c r="B61" s="125" t="s">
        <v>142</v>
      </c>
      <c r="C61" s="142"/>
      <c r="D61" s="140"/>
      <c r="E61" s="142">
        <f>+F61-KQKDok!G16</f>
        <v>0</v>
      </c>
      <c r="F61" s="142">
        <f>SUM(F51:F60)</f>
        <v>267706080576</v>
      </c>
      <c r="G61" s="142">
        <f>SUM(G51:G60)</f>
        <v>168518339287</v>
      </c>
    </row>
    <row r="62" spans="1:7" ht="12.75">
      <c r="A62" s="126"/>
      <c r="B62" s="125" t="s">
        <v>282</v>
      </c>
      <c r="C62" s="140"/>
      <c r="D62" s="140"/>
      <c r="E62" s="140"/>
      <c r="F62" s="140"/>
      <c r="G62" s="140"/>
    </row>
    <row r="63" spans="1:7" ht="12.75">
      <c r="A63" s="126"/>
      <c r="B63" s="126"/>
      <c r="C63" s="140"/>
      <c r="D63" s="140"/>
      <c r="E63" s="140"/>
      <c r="F63" s="140"/>
      <c r="G63" s="140"/>
    </row>
  </sheetData>
  <printOptions/>
  <pageMargins left="0.5" right="0" top="0.25" bottom="0.5" header="0.5" footer="0.25"/>
  <pageSetup horizontalDpi="600" verticalDpi="600" orientation="portrait" paperSize="9" scale="80" r:id="rId1"/>
  <headerFooter alignWithMargins="0">
    <oddFooter>&amp;C&amp;8TMBCTC QUÝ 4/2007&amp;R&amp;8Trang 7/8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2" sqref="B12:D14"/>
    </sheetView>
  </sheetViews>
  <sheetFormatPr defaultColWidth="8.796875" defaultRowHeight="15"/>
  <cols>
    <col min="1" max="1" width="3.8984375" style="127" customWidth="1"/>
    <col min="2" max="2" width="24.5" style="127" customWidth="1"/>
    <col min="3" max="3" width="14.5" style="212" customWidth="1"/>
    <col min="4" max="4" width="15.59765625" style="212" customWidth="1"/>
    <col min="5" max="5" width="11" style="212" customWidth="1"/>
    <col min="6" max="6" width="15.3984375" style="212" customWidth="1"/>
    <col min="7" max="7" width="15.59765625" style="212" customWidth="1"/>
    <col min="8" max="8" width="10" style="212" bestFit="1" customWidth="1"/>
    <col min="9" max="9" width="13.19921875" style="212" customWidth="1"/>
    <col min="10" max="10" width="14" style="212" customWidth="1"/>
    <col min="11" max="11" width="13.3984375" style="212" customWidth="1"/>
    <col min="12" max="12" width="13.09765625" style="212" bestFit="1" customWidth="1"/>
    <col min="13" max="15" width="9" style="212" customWidth="1"/>
    <col min="16" max="16384" width="9" style="127" customWidth="1"/>
  </cols>
  <sheetData>
    <row r="1" spans="1:7" ht="12.75">
      <c r="A1" s="126"/>
      <c r="B1" s="125" t="s">
        <v>285</v>
      </c>
      <c r="C1" s="140"/>
      <c r="D1" s="140"/>
      <c r="E1" s="140"/>
      <c r="F1" s="140"/>
      <c r="G1" s="140"/>
    </row>
    <row r="2" spans="1:7" ht="12.75">
      <c r="A2" s="126"/>
      <c r="B2" s="126" t="s">
        <v>286</v>
      </c>
      <c r="C2" s="140"/>
      <c r="D2" s="140"/>
      <c r="E2" s="140"/>
      <c r="F2" s="140"/>
      <c r="G2" s="140"/>
    </row>
    <row r="3" spans="1:7" ht="12.75">
      <c r="A3" s="126"/>
      <c r="B3" s="126" t="s">
        <v>287</v>
      </c>
      <c r="C3" s="140"/>
      <c r="D3" s="140"/>
      <c r="E3" s="140"/>
      <c r="F3" s="140"/>
      <c r="G3" s="140"/>
    </row>
    <row r="4" spans="1:7" ht="12.75">
      <c r="A4" s="126"/>
      <c r="B4" s="126" t="s">
        <v>288</v>
      </c>
      <c r="C4" s="140"/>
      <c r="D4" s="140"/>
      <c r="E4" s="140"/>
      <c r="F4" s="140"/>
      <c r="G4" s="140"/>
    </row>
    <row r="5" spans="1:7" ht="12.75">
      <c r="A5" s="136"/>
      <c r="B5" s="136"/>
      <c r="C5" s="151"/>
      <c r="D5" s="151"/>
      <c r="E5" s="151"/>
      <c r="F5" s="151"/>
      <c r="G5" s="151"/>
    </row>
    <row r="7" spans="5:7" ht="12.75">
      <c r="E7" s="550" t="s">
        <v>552</v>
      </c>
      <c r="F7" s="550"/>
      <c r="G7" s="550"/>
    </row>
    <row r="8" spans="2:6" ht="12.75">
      <c r="B8" s="225" t="s">
        <v>289</v>
      </c>
      <c r="D8" s="225" t="s">
        <v>290</v>
      </c>
      <c r="F8" s="225" t="s">
        <v>580</v>
      </c>
    </row>
    <row r="9" spans="2:6" ht="12.75">
      <c r="B9" s="225" t="s">
        <v>656</v>
      </c>
      <c r="D9" s="225" t="s">
        <v>656</v>
      </c>
      <c r="F9" s="225" t="s">
        <v>656</v>
      </c>
    </row>
    <row r="10" spans="2:6" ht="12.75">
      <c r="B10" s="225"/>
      <c r="D10" s="127"/>
      <c r="F10" s="127"/>
    </row>
    <row r="11" spans="2:6" ht="12.75">
      <c r="B11" s="225"/>
      <c r="D11" s="127"/>
      <c r="F11" s="127"/>
    </row>
    <row r="12" spans="2:6" ht="12.75">
      <c r="B12" s="225"/>
      <c r="D12" s="127"/>
      <c r="F12" s="127"/>
    </row>
    <row r="13" spans="2:6" ht="12.75">
      <c r="B13" s="225"/>
      <c r="D13" s="127"/>
      <c r="F13" s="127"/>
    </row>
    <row r="14" spans="2:6" ht="12.75">
      <c r="B14" s="225"/>
      <c r="D14" s="127"/>
      <c r="F14" s="127"/>
    </row>
    <row r="15" spans="2:6" ht="12.75">
      <c r="B15" s="225"/>
      <c r="D15" s="127"/>
      <c r="F15" s="127"/>
    </row>
    <row r="16" spans="2:6" ht="14.25">
      <c r="B16" s="240" t="s">
        <v>427</v>
      </c>
      <c r="D16" s="225" t="s">
        <v>643</v>
      </c>
      <c r="F16" s="225" t="s">
        <v>644</v>
      </c>
    </row>
  </sheetData>
  <mergeCells count="1">
    <mergeCell ref="E7:G7"/>
  </mergeCells>
  <printOptions/>
  <pageMargins left="0.5" right="0" top="1" bottom="1" header="0.5" footer="0.5"/>
  <pageSetup horizontalDpi="600" verticalDpi="600" orientation="portrait" paperSize="9" scale="80" r:id="rId1"/>
  <headerFooter alignWithMargins="0">
    <oddFooter>&amp;C&amp;8TMBCTC QUÝ 4/2007&amp;R&amp;8Trang 8/8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4">
      <pane xSplit="1" ySplit="7" topLeftCell="B4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D29" sqref="D29"/>
    </sheetView>
  </sheetViews>
  <sheetFormatPr defaultColWidth="8.796875" defaultRowHeight="15"/>
  <cols>
    <col min="1" max="1" width="47.8984375" style="0" customWidth="1"/>
    <col min="2" max="2" width="8.8984375" style="0" customWidth="1"/>
    <col min="3" max="3" width="8.3984375" style="0" customWidth="1"/>
    <col min="4" max="4" width="16.19921875" style="19" customWidth="1"/>
    <col min="5" max="5" width="13.5" style="41" customWidth="1"/>
  </cols>
  <sheetData>
    <row r="1" spans="1:5" ht="21.75" customHeight="1">
      <c r="A1" s="271" t="str">
        <f>'[2]BCDKT'!A1</f>
        <v>COÂNG TY COÅ PHAÀN SAÛN XUAÁT-THÖÔNG MAÏI MAY SAØI GOØN</v>
      </c>
      <c r="B1" s="272"/>
      <c r="C1" s="273"/>
      <c r="D1" s="558" t="s">
        <v>403</v>
      </c>
      <c r="E1" s="558"/>
    </row>
    <row r="2" spans="1:5" ht="22.5" customHeight="1">
      <c r="A2" s="271" t="s">
        <v>404</v>
      </c>
      <c r="B2" s="272"/>
      <c r="C2" s="273"/>
      <c r="D2" s="558"/>
      <c r="E2" s="558"/>
    </row>
    <row r="3" spans="1:5" ht="15">
      <c r="A3" s="271"/>
      <c r="B3" s="272"/>
      <c r="C3" s="273"/>
      <c r="D3" s="374"/>
      <c r="E3" s="374"/>
    </row>
    <row r="4" spans="1:5" ht="18">
      <c r="A4" s="559" t="s">
        <v>405</v>
      </c>
      <c r="B4" s="559"/>
      <c r="C4" s="559"/>
      <c r="D4" s="559"/>
      <c r="E4" s="559"/>
    </row>
    <row r="5" spans="1:5" ht="15">
      <c r="A5" s="560" t="s">
        <v>406</v>
      </c>
      <c r="B5" s="560"/>
      <c r="C5" s="560"/>
      <c r="D5" s="560"/>
      <c r="E5" s="560"/>
    </row>
    <row r="6" spans="1:5" ht="15">
      <c r="A6" s="560" t="s">
        <v>343</v>
      </c>
      <c r="B6" s="560"/>
      <c r="C6" s="560"/>
      <c r="D6" s="560"/>
      <c r="E6" s="560"/>
    </row>
    <row r="7" spans="1:5" ht="18">
      <c r="A7" s="553" t="s">
        <v>553</v>
      </c>
      <c r="B7" s="553"/>
      <c r="C7" s="553"/>
      <c r="D7" s="553"/>
      <c r="E7" s="553"/>
    </row>
    <row r="8" spans="1:5" ht="15">
      <c r="A8" s="275"/>
      <c r="B8" s="274"/>
      <c r="C8" s="275"/>
      <c r="D8" s="554" t="s">
        <v>407</v>
      </c>
      <c r="E8" s="554"/>
    </row>
    <row r="9" spans="1:5" ht="15">
      <c r="A9" s="555" t="s">
        <v>495</v>
      </c>
      <c r="B9" s="556" t="s">
        <v>438</v>
      </c>
      <c r="C9" s="556" t="s">
        <v>591</v>
      </c>
      <c r="D9" s="557" t="s">
        <v>408</v>
      </c>
      <c r="E9" s="557"/>
    </row>
    <row r="10" spans="1:5" ht="15">
      <c r="A10" s="555"/>
      <c r="B10" s="556"/>
      <c r="C10" s="556"/>
      <c r="D10" s="376" t="s">
        <v>635</v>
      </c>
      <c r="E10" s="376" t="s">
        <v>634</v>
      </c>
    </row>
    <row r="11" spans="1:5" ht="15">
      <c r="A11" s="335">
        <v>1</v>
      </c>
      <c r="B11" s="336">
        <v>2</v>
      </c>
      <c r="C11" s="336">
        <v>3</v>
      </c>
      <c r="D11" s="377">
        <v>4</v>
      </c>
      <c r="E11" s="377">
        <v>5</v>
      </c>
    </row>
    <row r="12" spans="1:5" ht="15">
      <c r="A12" s="276" t="s">
        <v>344</v>
      </c>
      <c r="B12" s="277"/>
      <c r="C12" s="278"/>
      <c r="D12" s="453"/>
      <c r="E12" s="453"/>
    </row>
    <row r="13" spans="1:5" ht="15">
      <c r="A13" s="279" t="s">
        <v>345</v>
      </c>
      <c r="B13" s="280" t="s">
        <v>496</v>
      </c>
      <c r="C13" s="281"/>
      <c r="D13" s="454">
        <v>17310650142</v>
      </c>
      <c r="E13" s="454">
        <v>12095921335</v>
      </c>
    </row>
    <row r="14" spans="1:5" ht="15">
      <c r="A14" s="279" t="s">
        <v>346</v>
      </c>
      <c r="B14" s="282"/>
      <c r="C14" s="281"/>
      <c r="D14" s="454">
        <f>SUM(D15:D19)</f>
        <v>12181189363</v>
      </c>
      <c r="E14" s="454">
        <f>SUM(E15:E19)</f>
        <v>11549558796</v>
      </c>
    </row>
    <row r="15" spans="1:5" ht="15">
      <c r="A15" s="283" t="s">
        <v>347</v>
      </c>
      <c r="B15" s="284" t="s">
        <v>348</v>
      </c>
      <c r="C15" s="285"/>
      <c r="D15" s="455">
        <v>8392667012</v>
      </c>
      <c r="E15" s="456">
        <v>7351583490</v>
      </c>
    </row>
    <row r="16" spans="1:5" ht="15">
      <c r="A16" s="283" t="s">
        <v>349</v>
      </c>
      <c r="B16" s="284" t="s">
        <v>497</v>
      </c>
      <c r="C16" s="286"/>
      <c r="D16" s="455"/>
      <c r="E16" s="455"/>
    </row>
    <row r="17" spans="1:5" ht="15">
      <c r="A17" s="283" t="s">
        <v>350</v>
      </c>
      <c r="B17" s="284" t="s">
        <v>351</v>
      </c>
      <c r="C17" s="286"/>
      <c r="D17" s="455">
        <v>69934575</v>
      </c>
      <c r="E17" s="455">
        <v>472366387</v>
      </c>
    </row>
    <row r="18" spans="1:5" ht="15">
      <c r="A18" s="283" t="s">
        <v>352</v>
      </c>
      <c r="B18" s="284" t="s">
        <v>353</v>
      </c>
      <c r="C18" s="287"/>
      <c r="D18" s="455">
        <v>-149607891</v>
      </c>
      <c r="E18" s="455">
        <v>1803651</v>
      </c>
    </row>
    <row r="19" spans="1:5" ht="15">
      <c r="A19" s="283" t="s">
        <v>354</v>
      </c>
      <c r="B19" s="284" t="s">
        <v>355</v>
      </c>
      <c r="C19" s="286"/>
      <c r="D19" s="455">
        <v>3868195667</v>
      </c>
      <c r="E19" s="455">
        <v>3723805268</v>
      </c>
    </row>
    <row r="20" spans="1:5" ht="25.5">
      <c r="A20" s="288" t="s">
        <v>356</v>
      </c>
      <c r="B20" s="289" t="s">
        <v>357</v>
      </c>
      <c r="C20" s="290"/>
      <c r="D20" s="457">
        <f>+D14+D13</f>
        <v>29491839505</v>
      </c>
      <c r="E20" s="457">
        <f>+E14+E13</f>
        <v>23645480131</v>
      </c>
    </row>
    <row r="21" spans="1:5" ht="15">
      <c r="A21" s="291" t="s">
        <v>358</v>
      </c>
      <c r="B21" s="284" t="s">
        <v>359</v>
      </c>
      <c r="C21" s="287"/>
      <c r="D21" s="455">
        <v>-16446202733</v>
      </c>
      <c r="E21" s="455">
        <v>-5086022992</v>
      </c>
    </row>
    <row r="22" spans="1:5" ht="15">
      <c r="A22" s="291" t="s">
        <v>360</v>
      </c>
      <c r="B22" s="292" t="s">
        <v>361</v>
      </c>
      <c r="C22" s="287"/>
      <c r="D22" s="455">
        <v>-1511878125</v>
      </c>
      <c r="E22" s="455">
        <v>-10111244296</v>
      </c>
    </row>
    <row r="23" spans="1:5" ht="15">
      <c r="A23" s="293" t="s">
        <v>362</v>
      </c>
      <c r="B23" s="284">
        <v>11</v>
      </c>
      <c r="C23" s="294"/>
      <c r="D23" s="458">
        <v>15612343544</v>
      </c>
      <c r="E23" s="458">
        <v>5197307204</v>
      </c>
    </row>
    <row r="24" spans="1:5" ht="15">
      <c r="A24" s="291" t="s">
        <v>363</v>
      </c>
      <c r="B24" s="284">
        <v>12</v>
      </c>
      <c r="C24" s="287"/>
      <c r="D24" s="455">
        <v>129069955</v>
      </c>
      <c r="E24" s="455">
        <v>543445295</v>
      </c>
    </row>
    <row r="25" spans="1:5" ht="15">
      <c r="A25" s="291" t="s">
        <v>364</v>
      </c>
      <c r="B25" s="284">
        <v>13</v>
      </c>
      <c r="C25" s="287"/>
      <c r="D25" s="455">
        <f>-D19</f>
        <v>-3868195667</v>
      </c>
      <c r="E25" s="455">
        <v>-3723805268</v>
      </c>
    </row>
    <row r="26" spans="1:5" ht="15">
      <c r="A26" s="291" t="s">
        <v>365</v>
      </c>
      <c r="B26" s="284">
        <v>14</v>
      </c>
      <c r="C26" s="287"/>
      <c r="D26" s="455">
        <v>-961574793</v>
      </c>
      <c r="E26" s="455">
        <v>-528027865</v>
      </c>
    </row>
    <row r="27" spans="1:5" ht="22.5" customHeight="1">
      <c r="A27" s="291" t="s">
        <v>366</v>
      </c>
      <c r="B27" s="284">
        <v>15</v>
      </c>
      <c r="C27" s="287"/>
      <c r="D27" s="455">
        <v>1175380220</v>
      </c>
      <c r="E27" s="455">
        <v>2249848855</v>
      </c>
    </row>
    <row r="28" spans="1:5" ht="15">
      <c r="A28" s="291" t="s">
        <v>367</v>
      </c>
      <c r="B28" s="295">
        <v>16</v>
      </c>
      <c r="C28" s="287"/>
      <c r="D28" s="18">
        <v>-24055939903</v>
      </c>
      <c r="E28" s="455">
        <v>-14546047784</v>
      </c>
    </row>
    <row r="29" spans="1:5" ht="15">
      <c r="A29" s="296" t="s">
        <v>368</v>
      </c>
      <c r="B29" s="297">
        <v>20</v>
      </c>
      <c r="C29" s="298"/>
      <c r="D29" s="459">
        <f>SUM(D20:D28)</f>
        <v>-435157997</v>
      </c>
      <c r="E29" s="459">
        <f>SUM(E20:E28)</f>
        <v>-2359066720</v>
      </c>
    </row>
    <row r="30" spans="1:5" ht="17.25">
      <c r="A30" s="299" t="s">
        <v>369</v>
      </c>
      <c r="B30" s="300"/>
      <c r="C30" s="301"/>
      <c r="D30" s="455"/>
      <c r="E30" s="460"/>
    </row>
    <row r="31" spans="1:5" ht="17.25">
      <c r="A31" s="302" t="s">
        <v>370</v>
      </c>
      <c r="B31" s="292">
        <v>21</v>
      </c>
      <c r="C31" s="303"/>
      <c r="D31" s="455">
        <v>-6344636576</v>
      </c>
      <c r="E31" s="456">
        <v>-6659173912</v>
      </c>
    </row>
    <row r="32" spans="1:5" ht="17.25">
      <c r="A32" s="302" t="s">
        <v>371</v>
      </c>
      <c r="B32" s="292">
        <v>22</v>
      </c>
      <c r="C32" s="301"/>
      <c r="D32" s="455">
        <v>225690909</v>
      </c>
      <c r="E32" s="460">
        <v>5000000</v>
      </c>
    </row>
    <row r="33" spans="1:5" ht="17.25">
      <c r="A33" s="302" t="s">
        <v>372</v>
      </c>
      <c r="B33" s="292">
        <v>23</v>
      </c>
      <c r="C33" s="305"/>
      <c r="D33" s="461"/>
      <c r="E33" s="462"/>
    </row>
    <row r="34" spans="1:5" ht="17.25">
      <c r="A34" s="302" t="s">
        <v>373</v>
      </c>
      <c r="B34" s="292">
        <v>25</v>
      </c>
      <c r="C34" s="306"/>
      <c r="D34" s="455">
        <v>-5671550000</v>
      </c>
      <c r="E34" s="460">
        <v>-5821742000</v>
      </c>
    </row>
    <row r="35" spans="1:5" ht="17.25">
      <c r="A35" s="302" t="s">
        <v>374</v>
      </c>
      <c r="B35" s="292">
        <v>26</v>
      </c>
      <c r="C35" s="301"/>
      <c r="D35" s="455"/>
      <c r="E35" s="460"/>
    </row>
    <row r="36" spans="1:5" ht="17.25">
      <c r="A36" s="302" t="s">
        <v>375</v>
      </c>
      <c r="B36" s="307">
        <v>27</v>
      </c>
      <c r="C36" s="285"/>
      <c r="D36" s="455">
        <v>100720000</v>
      </c>
      <c r="E36" s="456"/>
    </row>
    <row r="37" spans="1:5" ht="17.25">
      <c r="A37" s="279" t="s">
        <v>376</v>
      </c>
      <c r="B37" s="308">
        <v>30</v>
      </c>
      <c r="C37" s="309"/>
      <c r="D37" s="454">
        <f>SUM(D31:D36)</f>
        <v>-11689775667</v>
      </c>
      <c r="E37" s="454">
        <f>SUM(E31:E36)</f>
        <v>-12475915912</v>
      </c>
    </row>
    <row r="38" spans="1:5" ht="17.25">
      <c r="A38" s="279" t="s">
        <v>377</v>
      </c>
      <c r="B38" s="282"/>
      <c r="C38" s="301"/>
      <c r="D38" s="455"/>
      <c r="E38" s="460"/>
    </row>
    <row r="39" spans="1:5" ht="25.5">
      <c r="A39" s="304" t="s">
        <v>399</v>
      </c>
      <c r="B39" s="284" t="s">
        <v>378</v>
      </c>
      <c r="C39" s="301"/>
      <c r="D39" s="18">
        <f>1626150000+293000000+61522940000</f>
        <v>63442090000</v>
      </c>
      <c r="E39" s="460"/>
    </row>
    <row r="40" spans="1:5" ht="25.5">
      <c r="A40" s="304" t="s">
        <v>379</v>
      </c>
      <c r="B40" s="284" t="s">
        <v>380</v>
      </c>
      <c r="C40" s="301"/>
      <c r="D40" s="455">
        <v>-1500000</v>
      </c>
      <c r="E40" s="460"/>
    </row>
    <row r="41" spans="1:5" ht="17.25">
      <c r="A41" s="302" t="s">
        <v>381</v>
      </c>
      <c r="B41" s="292">
        <v>33</v>
      </c>
      <c r="C41" s="301"/>
      <c r="D41" s="455">
        <v>145158725609</v>
      </c>
      <c r="E41" s="460">
        <v>94731999624</v>
      </c>
    </row>
    <row r="42" spans="1:5" ht="17.25">
      <c r="A42" s="302" t="s">
        <v>382</v>
      </c>
      <c r="B42" s="310">
        <v>34</v>
      </c>
      <c r="C42" s="311"/>
      <c r="D42" s="463">
        <v>-157531269236</v>
      </c>
      <c r="E42" s="460">
        <v>-85019617721</v>
      </c>
    </row>
    <row r="43" spans="1:5" ht="17.25">
      <c r="A43" s="302" t="s">
        <v>383</v>
      </c>
      <c r="B43" s="292">
        <v>36</v>
      </c>
      <c r="C43" s="303"/>
      <c r="D43" s="455">
        <f>-'[3]TMBCTC 5'!K32</f>
        <v>-6031579000</v>
      </c>
      <c r="E43" s="463">
        <v>-4042080000</v>
      </c>
    </row>
    <row r="44" spans="1:6" ht="17.25">
      <c r="A44" s="279" t="s">
        <v>384</v>
      </c>
      <c r="B44" s="312" t="s">
        <v>385</v>
      </c>
      <c r="C44" s="313"/>
      <c r="D44" s="454">
        <f>SUM(D39:D43)</f>
        <v>45036467373</v>
      </c>
      <c r="E44" s="454">
        <f>SUM(E39:E43)</f>
        <v>5670301903</v>
      </c>
      <c r="F44" s="333"/>
    </row>
    <row r="45" spans="1:6" ht="17.25">
      <c r="A45" s="279" t="s">
        <v>386</v>
      </c>
      <c r="B45" s="314">
        <v>50</v>
      </c>
      <c r="C45" s="281"/>
      <c r="D45" s="454">
        <f>+D44+D37+D29</f>
        <v>32911533709</v>
      </c>
      <c r="E45" s="454">
        <f>+E44+E37+E29</f>
        <v>-9164680729</v>
      </c>
      <c r="F45" s="212"/>
    </row>
    <row r="46" spans="1:6" ht="17.25">
      <c r="A46" s="279" t="s">
        <v>387</v>
      </c>
      <c r="B46" s="314">
        <v>60</v>
      </c>
      <c r="C46" s="281"/>
      <c r="D46" s="455">
        <v>6825564352</v>
      </c>
      <c r="E46" s="455">
        <v>15893061095</v>
      </c>
      <c r="F46" s="212"/>
    </row>
    <row r="47" spans="1:6" ht="17.25">
      <c r="A47" s="302" t="s">
        <v>388</v>
      </c>
      <c r="B47" s="285">
        <v>61</v>
      </c>
      <c r="C47" s="286"/>
      <c r="D47" s="455">
        <v>-89377911</v>
      </c>
      <c r="E47" s="455">
        <v>97183986</v>
      </c>
      <c r="F47" s="212"/>
    </row>
    <row r="48" spans="1:6" ht="17.25">
      <c r="A48" s="330" t="s">
        <v>398</v>
      </c>
      <c r="B48" s="331">
        <v>70</v>
      </c>
      <c r="C48" s="332"/>
      <c r="D48" s="464">
        <f>+D45+D46+D47</f>
        <v>39647720150</v>
      </c>
      <c r="E48" s="464">
        <f>+E45+E46+E47</f>
        <v>6825564352</v>
      </c>
      <c r="F48" s="212"/>
    </row>
    <row r="49" spans="1:6" ht="17.25">
      <c r="A49" s="275"/>
      <c r="B49" s="274"/>
      <c r="C49" s="275"/>
      <c r="D49" s="378">
        <f>+D48-'CDKT-page1-2 ok'!F16</f>
        <v>0</v>
      </c>
      <c r="F49" s="212"/>
    </row>
    <row r="50" spans="1:6" s="480" customFormat="1" ht="17.25">
      <c r="A50" s="127"/>
      <c r="B50" s="212"/>
      <c r="C50" s="212"/>
      <c r="D50" s="425" t="s">
        <v>545</v>
      </c>
      <c r="E50" s="425"/>
      <c r="F50" s="212"/>
    </row>
    <row r="51" spans="1:5" s="480" customFormat="1" ht="17.25">
      <c r="A51" s="334" t="s">
        <v>0</v>
      </c>
      <c r="B51" s="212"/>
      <c r="C51" s="225"/>
      <c r="D51" s="551" t="s">
        <v>335</v>
      </c>
      <c r="E51" s="551"/>
    </row>
    <row r="52" spans="1:5" s="480" customFormat="1" ht="17.25">
      <c r="A52" s="334"/>
      <c r="B52" s="212"/>
      <c r="C52" s="225"/>
      <c r="D52" s="370"/>
      <c r="E52" s="370"/>
    </row>
    <row r="53" spans="1:5" s="480" customFormat="1" ht="17.25">
      <c r="A53" s="334"/>
      <c r="B53" s="212"/>
      <c r="C53" s="127"/>
      <c r="D53" s="212"/>
      <c r="E53" s="127"/>
    </row>
    <row r="54" spans="1:5" s="480" customFormat="1" ht="17.25">
      <c r="A54" s="334"/>
      <c r="B54" s="212"/>
      <c r="C54" s="127"/>
      <c r="D54" s="212"/>
      <c r="E54" s="127"/>
    </row>
    <row r="55" spans="1:5" s="480" customFormat="1" ht="17.25">
      <c r="A55" s="334"/>
      <c r="B55" s="212"/>
      <c r="C55" s="127"/>
      <c r="D55" s="212"/>
      <c r="E55" s="127"/>
    </row>
    <row r="56" spans="1:5" s="480" customFormat="1" ht="17.25">
      <c r="A56" s="227" t="s">
        <v>305</v>
      </c>
      <c r="B56" s="212"/>
      <c r="C56" s="225"/>
      <c r="D56" s="552" t="s">
        <v>581</v>
      </c>
      <c r="E56" s="552"/>
    </row>
    <row r="57" spans="4:5" s="480" customFormat="1" ht="17.25">
      <c r="D57" s="234"/>
      <c r="E57" s="234"/>
    </row>
  </sheetData>
  <mergeCells count="12">
    <mergeCell ref="D1:E2"/>
    <mergeCell ref="A4:E4"/>
    <mergeCell ref="A5:E5"/>
    <mergeCell ref="A6:E6"/>
    <mergeCell ref="D51:E51"/>
    <mergeCell ref="D56:E56"/>
    <mergeCell ref="A7:E7"/>
    <mergeCell ref="D8:E8"/>
    <mergeCell ref="A9:A10"/>
    <mergeCell ref="B9:B10"/>
    <mergeCell ref="C9:C10"/>
    <mergeCell ref="D9:E9"/>
  </mergeCells>
  <printOptions/>
  <pageMargins left="1.25" right="0" top="0.25" bottom="0.25" header="0.5" footer="0.5"/>
  <pageSetup horizontalDpi="600" verticalDpi="600" orientation="portrait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4">
      <pane xSplit="1" ySplit="7" topLeftCell="B29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D48" sqref="D48"/>
    </sheetView>
  </sheetViews>
  <sheetFormatPr defaultColWidth="8.796875" defaultRowHeight="15"/>
  <cols>
    <col min="1" max="1" width="43.09765625" style="0" bestFit="1" customWidth="1"/>
    <col min="2" max="2" width="6.3984375" style="0" customWidth="1"/>
    <col min="3" max="3" width="6.09765625" style="0" customWidth="1"/>
    <col min="4" max="4" width="14.19921875" style="19" customWidth="1"/>
    <col min="5" max="5" width="14.59765625" style="19" customWidth="1"/>
  </cols>
  <sheetData>
    <row r="1" spans="1:5" ht="25.5" customHeight="1">
      <c r="A1" s="271" t="str">
        <f>'[2]BCDKT'!A1</f>
        <v>COÂNG TY COÅ PHAÀN SAÛN XUAÁT-THÖÔNG MAÏI MAY SAØI GOØN</v>
      </c>
      <c r="B1" s="272"/>
      <c r="C1" s="273"/>
      <c r="D1" s="558" t="s">
        <v>409</v>
      </c>
      <c r="E1" s="558"/>
    </row>
    <row r="2" spans="1:5" ht="20.25" customHeight="1">
      <c r="A2" s="271" t="s">
        <v>404</v>
      </c>
      <c r="B2" s="272"/>
      <c r="C2" s="273"/>
      <c r="D2" s="558"/>
      <c r="E2" s="558"/>
    </row>
    <row r="3" spans="1:5" ht="17.25">
      <c r="A3" s="271"/>
      <c r="B3" s="272"/>
      <c r="C3" s="273"/>
      <c r="D3" s="374"/>
      <c r="E3" s="374"/>
    </row>
    <row r="4" spans="1:5" ht="18.75">
      <c r="A4" s="559" t="s">
        <v>405</v>
      </c>
      <c r="B4" s="559"/>
      <c r="C4" s="559"/>
      <c r="D4" s="559"/>
      <c r="E4" s="559"/>
    </row>
    <row r="5" spans="1:5" ht="17.25">
      <c r="A5" s="560" t="s">
        <v>410</v>
      </c>
      <c r="B5" s="560"/>
      <c r="C5" s="560"/>
      <c r="D5" s="560"/>
      <c r="E5" s="560"/>
    </row>
    <row r="6" spans="1:5" ht="18.75">
      <c r="A6" s="553" t="s">
        <v>553</v>
      </c>
      <c r="B6" s="553"/>
      <c r="C6" s="553"/>
      <c r="D6" s="553"/>
      <c r="E6" s="553"/>
    </row>
    <row r="7" spans="1:5" ht="17.25">
      <c r="A7" s="275"/>
      <c r="B7" s="274"/>
      <c r="C7" s="275"/>
      <c r="D7" s="554" t="s">
        <v>407</v>
      </c>
      <c r="E7" s="554"/>
    </row>
    <row r="8" spans="1:5" ht="17.25">
      <c r="A8" s="275"/>
      <c r="B8" s="274"/>
      <c r="C8" s="275"/>
      <c r="D8" s="375"/>
      <c r="E8" s="375"/>
    </row>
    <row r="9" spans="1:5" ht="17.25">
      <c r="A9" s="555" t="s">
        <v>495</v>
      </c>
      <c r="B9" s="556" t="s">
        <v>438</v>
      </c>
      <c r="C9" s="556" t="s">
        <v>591</v>
      </c>
      <c r="D9" s="557" t="s">
        <v>408</v>
      </c>
      <c r="E9" s="557"/>
    </row>
    <row r="10" spans="1:5" ht="17.25">
      <c r="A10" s="555"/>
      <c r="B10" s="556"/>
      <c r="C10" s="556"/>
      <c r="D10" s="376" t="s">
        <v>635</v>
      </c>
      <c r="E10" s="376" t="s">
        <v>634</v>
      </c>
    </row>
    <row r="11" spans="1:5" ht="17.25">
      <c r="A11" s="335">
        <v>1</v>
      </c>
      <c r="B11" s="336">
        <v>2</v>
      </c>
      <c r="C11" s="336">
        <v>3</v>
      </c>
      <c r="D11" s="377">
        <v>4</v>
      </c>
      <c r="E11" s="377">
        <v>5</v>
      </c>
    </row>
    <row r="12" spans="1:5" ht="17.25" hidden="1">
      <c r="A12" s="276" t="s">
        <v>344</v>
      </c>
      <c r="B12" s="277"/>
      <c r="C12" s="278"/>
      <c r="D12" s="453"/>
      <c r="E12" s="453"/>
    </row>
    <row r="13" spans="1:5" ht="17.25" hidden="1">
      <c r="A13" s="279" t="s">
        <v>345</v>
      </c>
      <c r="B13" s="280" t="s">
        <v>496</v>
      </c>
      <c r="C13" s="281"/>
      <c r="D13" s="454">
        <f>+'LCTT DAY DU'!D13</f>
        <v>17310650142</v>
      </c>
      <c r="E13" s="454">
        <f>+'LCTT DAY DU'!E13</f>
        <v>12095921335</v>
      </c>
    </row>
    <row r="14" spans="1:5" ht="17.25" hidden="1">
      <c r="A14" s="279" t="s">
        <v>346</v>
      </c>
      <c r="B14" s="282"/>
      <c r="C14" s="281"/>
      <c r="D14" s="454">
        <f>+'LCTT DAY DU'!D14</f>
        <v>12181189363</v>
      </c>
      <c r="E14" s="454">
        <f>+'LCTT DAY DU'!E14</f>
        <v>11549558796</v>
      </c>
    </row>
    <row r="15" spans="1:5" ht="17.25" hidden="1">
      <c r="A15" s="283" t="s">
        <v>347</v>
      </c>
      <c r="B15" s="284" t="s">
        <v>348</v>
      </c>
      <c r="C15" s="285"/>
      <c r="D15" s="455">
        <f>+'LCTT DAY DU'!D15</f>
        <v>8392667012</v>
      </c>
      <c r="E15" s="456">
        <f>+'LCTT DAY DU'!E15</f>
        <v>7351583490</v>
      </c>
    </row>
    <row r="16" spans="1:5" ht="17.25" hidden="1">
      <c r="A16" s="283" t="s">
        <v>349</v>
      </c>
      <c r="B16" s="284" t="s">
        <v>497</v>
      </c>
      <c r="C16" s="286"/>
      <c r="D16" s="455">
        <f>+'LCTT DAY DU'!D16</f>
        <v>0</v>
      </c>
      <c r="E16" s="455">
        <f>+'LCTT DAY DU'!E16</f>
        <v>0</v>
      </c>
    </row>
    <row r="17" spans="1:5" ht="17.25" hidden="1">
      <c r="A17" s="283" t="s">
        <v>350</v>
      </c>
      <c r="B17" s="284" t="s">
        <v>351</v>
      </c>
      <c r="C17" s="286"/>
      <c r="D17" s="455">
        <f>+'LCTT DAY DU'!D17</f>
        <v>69934575</v>
      </c>
      <c r="E17" s="455">
        <f>+'LCTT DAY DU'!E17</f>
        <v>472366387</v>
      </c>
    </row>
    <row r="18" spans="1:5" ht="17.25" hidden="1">
      <c r="A18" s="283" t="s">
        <v>352</v>
      </c>
      <c r="B18" s="284" t="s">
        <v>353</v>
      </c>
      <c r="C18" s="287"/>
      <c r="D18" s="455">
        <f>+'LCTT DAY DU'!D18</f>
        <v>-149607891</v>
      </c>
      <c r="E18" s="455">
        <f>+'LCTT DAY DU'!E18</f>
        <v>1803651</v>
      </c>
    </row>
    <row r="19" spans="1:5" ht="17.25" hidden="1">
      <c r="A19" s="283" t="s">
        <v>354</v>
      </c>
      <c r="B19" s="284" t="s">
        <v>355</v>
      </c>
      <c r="C19" s="286"/>
      <c r="D19" s="455">
        <f>+'LCTT DAY DU'!D19</f>
        <v>3868195667</v>
      </c>
      <c r="E19" s="455">
        <f>+'LCTT DAY DU'!E19</f>
        <v>3723805268</v>
      </c>
    </row>
    <row r="20" spans="1:5" ht="25.5" hidden="1">
      <c r="A20" s="288" t="s">
        <v>356</v>
      </c>
      <c r="B20" s="289" t="s">
        <v>357</v>
      </c>
      <c r="C20" s="290"/>
      <c r="D20" s="457">
        <f>+'LCTT DAY DU'!D20</f>
        <v>29491839505</v>
      </c>
      <c r="E20" s="457">
        <f>+'LCTT DAY DU'!E20</f>
        <v>23645480131</v>
      </c>
    </row>
    <row r="21" spans="1:5" ht="17.25" hidden="1">
      <c r="A21" s="291" t="s">
        <v>358</v>
      </c>
      <c r="B21" s="284" t="s">
        <v>359</v>
      </c>
      <c r="C21" s="287"/>
      <c r="D21" s="455">
        <f>+'LCTT DAY DU'!D21</f>
        <v>-16446202733</v>
      </c>
      <c r="E21" s="455">
        <f>+'LCTT DAY DU'!E21</f>
        <v>-5086022992</v>
      </c>
    </row>
    <row r="22" spans="1:5" ht="17.25" hidden="1">
      <c r="A22" s="291" t="s">
        <v>360</v>
      </c>
      <c r="B22" s="292" t="s">
        <v>361</v>
      </c>
      <c r="C22" s="287"/>
      <c r="D22" s="455">
        <f>+'LCTT DAY DU'!D22</f>
        <v>-1511878125</v>
      </c>
      <c r="E22" s="455">
        <f>+'LCTT DAY DU'!E22</f>
        <v>-10111244296</v>
      </c>
    </row>
    <row r="23" spans="1:5" ht="17.25" hidden="1">
      <c r="A23" s="293" t="s">
        <v>362</v>
      </c>
      <c r="B23" s="284">
        <v>11</v>
      </c>
      <c r="C23" s="294"/>
      <c r="D23" s="458">
        <f>+'LCTT DAY DU'!D23</f>
        <v>15612343544</v>
      </c>
      <c r="E23" s="458">
        <f>+'LCTT DAY DU'!E23</f>
        <v>5197307204</v>
      </c>
    </row>
    <row r="24" spans="1:5" ht="17.25" hidden="1">
      <c r="A24" s="291" t="s">
        <v>363</v>
      </c>
      <c r="B24" s="284">
        <v>12</v>
      </c>
      <c r="C24" s="287"/>
      <c r="D24" s="455">
        <f>+'LCTT DAY DU'!D24</f>
        <v>129069955</v>
      </c>
      <c r="E24" s="455">
        <f>+'LCTT DAY DU'!E24</f>
        <v>543445295</v>
      </c>
    </row>
    <row r="25" spans="1:5" ht="17.25" hidden="1">
      <c r="A25" s="291" t="s">
        <v>364</v>
      </c>
      <c r="B25" s="284">
        <v>13</v>
      </c>
      <c r="C25" s="287"/>
      <c r="D25" s="455">
        <f>+'LCTT DAY DU'!D25</f>
        <v>-3868195667</v>
      </c>
      <c r="E25" s="455">
        <f>+'LCTT DAY DU'!E25</f>
        <v>-3723805268</v>
      </c>
    </row>
    <row r="26" spans="1:5" ht="17.25" hidden="1">
      <c r="A26" s="291" t="s">
        <v>365</v>
      </c>
      <c r="B26" s="284">
        <v>14</v>
      </c>
      <c r="C26" s="287"/>
      <c r="D26" s="455">
        <f>+'LCTT DAY DU'!D26</f>
        <v>-961574793</v>
      </c>
      <c r="E26" s="455">
        <f>+'LCTT DAY DU'!E26</f>
        <v>-528027865</v>
      </c>
    </row>
    <row r="27" spans="1:5" ht="17.25" hidden="1">
      <c r="A27" s="291" t="s">
        <v>366</v>
      </c>
      <c r="B27" s="284">
        <v>15</v>
      </c>
      <c r="C27" s="287"/>
      <c r="D27" s="455">
        <f>+'LCTT DAY DU'!D27</f>
        <v>1175380220</v>
      </c>
      <c r="E27" s="455">
        <f>+'LCTT DAY DU'!E27</f>
        <v>2249848855</v>
      </c>
    </row>
    <row r="28" spans="1:5" ht="17.25" hidden="1">
      <c r="A28" s="291" t="s">
        <v>367</v>
      </c>
      <c r="B28" s="295">
        <v>16</v>
      </c>
      <c r="C28" s="287"/>
      <c r="D28" s="455">
        <f>+'LCTT DAY DU'!D28</f>
        <v>-24055939903</v>
      </c>
      <c r="E28" s="455">
        <f>+'LCTT DAY DU'!E28</f>
        <v>-14546047784</v>
      </c>
    </row>
    <row r="29" spans="1:5" ht="17.25">
      <c r="A29" s="381" t="s">
        <v>411</v>
      </c>
      <c r="B29" s="382">
        <v>20</v>
      </c>
      <c r="C29" s="383"/>
      <c r="D29" s="465">
        <f>+'LCTT DAY DU'!D29</f>
        <v>-435157997</v>
      </c>
      <c r="E29" s="465">
        <f>+'LCTT DAY DU'!E29</f>
        <v>-2359066720</v>
      </c>
    </row>
    <row r="30" spans="1:5" ht="17.25" hidden="1">
      <c r="A30" s="384" t="s">
        <v>369</v>
      </c>
      <c r="B30" s="385"/>
      <c r="C30" s="301"/>
      <c r="D30" s="455">
        <f>+'LCTT DAY DU'!D30</f>
        <v>0</v>
      </c>
      <c r="E30" s="460">
        <f>+'LCTT DAY DU'!E30</f>
        <v>0</v>
      </c>
    </row>
    <row r="31" spans="1:5" ht="17.25" hidden="1">
      <c r="A31" s="302" t="s">
        <v>370</v>
      </c>
      <c r="B31" s="292">
        <v>21</v>
      </c>
      <c r="C31" s="303"/>
      <c r="D31" s="455">
        <f>+'LCTT DAY DU'!D31</f>
        <v>-6344636576</v>
      </c>
      <c r="E31" s="456">
        <f>+'LCTT DAY DU'!E31</f>
        <v>-6659173912</v>
      </c>
    </row>
    <row r="32" spans="1:5" ht="17.25" hidden="1">
      <c r="A32" s="302" t="s">
        <v>371</v>
      </c>
      <c r="B32" s="292">
        <v>22</v>
      </c>
      <c r="C32" s="301"/>
      <c r="D32" s="455">
        <f>+'LCTT DAY DU'!D32</f>
        <v>225690909</v>
      </c>
      <c r="E32" s="460">
        <f>+'LCTT DAY DU'!E32</f>
        <v>5000000</v>
      </c>
    </row>
    <row r="33" spans="1:5" ht="17.25" hidden="1">
      <c r="A33" s="302" t="s">
        <v>372</v>
      </c>
      <c r="B33" s="292">
        <v>23</v>
      </c>
      <c r="C33" s="305"/>
      <c r="D33" s="461">
        <f>+'LCTT DAY DU'!D33</f>
        <v>0</v>
      </c>
      <c r="E33" s="462">
        <f>+'LCTT DAY DU'!E33</f>
        <v>0</v>
      </c>
    </row>
    <row r="34" spans="1:5" ht="17.25" hidden="1">
      <c r="A34" s="302" t="s">
        <v>373</v>
      </c>
      <c r="B34" s="292">
        <v>25</v>
      </c>
      <c r="C34" s="306"/>
      <c r="D34" s="455">
        <f>+'LCTT DAY DU'!D34</f>
        <v>-5671550000</v>
      </c>
      <c r="E34" s="460">
        <f>+'LCTT DAY DU'!E34</f>
        <v>-5821742000</v>
      </c>
    </row>
    <row r="35" spans="1:5" ht="17.25" hidden="1">
      <c r="A35" s="302" t="s">
        <v>374</v>
      </c>
      <c r="B35" s="292">
        <v>26</v>
      </c>
      <c r="C35" s="301"/>
      <c r="D35" s="455">
        <f>+'LCTT DAY DU'!D35</f>
        <v>0</v>
      </c>
      <c r="E35" s="460">
        <f>+'LCTT DAY DU'!E35</f>
        <v>0</v>
      </c>
    </row>
    <row r="36" spans="1:5" ht="17.25" hidden="1">
      <c r="A36" s="302" t="s">
        <v>375</v>
      </c>
      <c r="B36" s="307">
        <v>27</v>
      </c>
      <c r="C36" s="285"/>
      <c r="D36" s="455">
        <f>+'LCTT DAY DU'!D36</f>
        <v>100720000</v>
      </c>
      <c r="E36" s="456">
        <f>+'LCTT DAY DU'!E36</f>
        <v>0</v>
      </c>
    </row>
    <row r="37" spans="1:5" ht="17.25">
      <c r="A37" s="381" t="s">
        <v>412</v>
      </c>
      <c r="B37" s="382">
        <v>30</v>
      </c>
      <c r="C37" s="383"/>
      <c r="D37" s="455">
        <f>+'LCTT DAY DU'!D37</f>
        <v>-11689775667</v>
      </c>
      <c r="E37" s="455">
        <f>+'LCTT DAY DU'!E37</f>
        <v>-12475915912</v>
      </c>
    </row>
    <row r="38" spans="1:5" ht="17.25" hidden="1">
      <c r="A38" s="302" t="s">
        <v>377</v>
      </c>
      <c r="B38" s="292"/>
      <c r="C38" s="301"/>
      <c r="D38" s="455">
        <f>+'LCTT DAY DU'!D38</f>
        <v>0</v>
      </c>
      <c r="E38" s="460">
        <f>+'LCTT DAY DU'!E38</f>
        <v>0</v>
      </c>
    </row>
    <row r="39" spans="1:5" ht="25.5" hidden="1">
      <c r="A39" s="304" t="s">
        <v>413</v>
      </c>
      <c r="B39" s="284" t="s">
        <v>378</v>
      </c>
      <c r="C39" s="301"/>
      <c r="D39" s="455">
        <f>+'LCTT DAY DU'!D39</f>
        <v>63442090000</v>
      </c>
      <c r="E39" s="460">
        <f>+'LCTT DAY DU'!E39</f>
        <v>0</v>
      </c>
    </row>
    <row r="40" spans="1:5" ht="38.25" hidden="1">
      <c r="A40" s="304" t="s">
        <v>379</v>
      </c>
      <c r="B40" s="284" t="s">
        <v>380</v>
      </c>
      <c r="C40" s="301"/>
      <c r="D40" s="455">
        <f>+'LCTT DAY DU'!D40</f>
        <v>-1500000</v>
      </c>
      <c r="E40" s="460">
        <f>+'LCTT DAY DU'!E40</f>
        <v>0</v>
      </c>
    </row>
    <row r="41" spans="1:5" ht="17.25" hidden="1">
      <c r="A41" s="302" t="s">
        <v>381</v>
      </c>
      <c r="B41" s="292">
        <v>33</v>
      </c>
      <c r="C41" s="301"/>
      <c r="D41" s="455">
        <f>+'LCTT DAY DU'!D41</f>
        <v>145158725609</v>
      </c>
      <c r="E41" s="460">
        <f>+'LCTT DAY DU'!E41</f>
        <v>94731999624</v>
      </c>
    </row>
    <row r="42" spans="1:5" ht="17.25" hidden="1">
      <c r="A42" s="302" t="s">
        <v>382</v>
      </c>
      <c r="B42" s="310">
        <v>34</v>
      </c>
      <c r="C42" s="311"/>
      <c r="D42" s="463">
        <f>+'LCTT DAY DU'!D42</f>
        <v>-157531269236</v>
      </c>
      <c r="E42" s="460">
        <f>+'LCTT DAY DU'!E42</f>
        <v>-85019617721</v>
      </c>
    </row>
    <row r="43" spans="1:5" ht="17.25" hidden="1">
      <c r="A43" s="302" t="s">
        <v>383</v>
      </c>
      <c r="B43" s="292">
        <v>36</v>
      </c>
      <c r="C43" s="303"/>
      <c r="D43" s="455">
        <f>+'LCTT DAY DU'!D43</f>
        <v>-6031579000</v>
      </c>
      <c r="E43" s="463">
        <f>+'LCTT DAY DU'!E43</f>
        <v>-4042080000</v>
      </c>
    </row>
    <row r="44" spans="1:5" ht="17.25">
      <c r="A44" s="381" t="s">
        <v>414</v>
      </c>
      <c r="B44" s="382" t="s">
        <v>385</v>
      </c>
      <c r="C44" s="383"/>
      <c r="D44" s="455">
        <f>+'LCTT DAY DU'!D44</f>
        <v>45036467373</v>
      </c>
      <c r="E44" s="455">
        <f>+'LCTT DAY DU'!E44</f>
        <v>5670301903</v>
      </c>
    </row>
    <row r="45" spans="1:5" ht="17.25">
      <c r="A45" s="381" t="s">
        <v>415</v>
      </c>
      <c r="B45" s="382">
        <v>50</v>
      </c>
      <c r="C45" s="383"/>
      <c r="D45" s="455">
        <f>+'LCTT DAY DU'!D45</f>
        <v>32911533709</v>
      </c>
      <c r="E45" s="455">
        <f>+'LCTT DAY DU'!E45</f>
        <v>-9164680729</v>
      </c>
    </row>
    <row r="46" spans="1:5" ht="17.25">
      <c r="A46" s="381" t="s">
        <v>416</v>
      </c>
      <c r="B46" s="382">
        <v>60</v>
      </c>
      <c r="C46" s="383"/>
      <c r="D46" s="455">
        <f>+'LCTT DAY DU'!D46</f>
        <v>6825564352</v>
      </c>
      <c r="E46" s="455">
        <f>+'LCTT DAY DU'!E46</f>
        <v>15893061095</v>
      </c>
    </row>
    <row r="47" spans="1:5" ht="17.25">
      <c r="A47" s="381" t="s">
        <v>418</v>
      </c>
      <c r="B47" s="382">
        <v>61</v>
      </c>
      <c r="C47" s="383"/>
      <c r="D47" s="455">
        <f>+'LCTT DAY DU'!D47</f>
        <v>-89377911</v>
      </c>
      <c r="E47" s="455">
        <f>+'LCTT DAY DU'!E47</f>
        <v>97183986</v>
      </c>
    </row>
    <row r="48" spans="1:5" ht="17.25">
      <c r="A48" s="386" t="s">
        <v>420</v>
      </c>
      <c r="B48" s="387">
        <v>70</v>
      </c>
      <c r="C48" s="388"/>
      <c r="D48" s="466">
        <f>+'LCTT DAY DU'!D48</f>
        <v>39647720150</v>
      </c>
      <c r="E48" s="466">
        <f>+'LCTT DAY DU'!E48</f>
        <v>6825564352</v>
      </c>
    </row>
    <row r="49" spans="1:5" ht="17.25">
      <c r="A49" s="275"/>
      <c r="B49" s="274"/>
      <c r="C49" s="275"/>
      <c r="D49" s="378"/>
      <c r="E49" s="41"/>
    </row>
    <row r="50" spans="1:5" s="480" customFormat="1" ht="17.25">
      <c r="A50" s="127"/>
      <c r="B50" s="212"/>
      <c r="C50" s="561" t="s">
        <v>545</v>
      </c>
      <c r="D50" s="561"/>
      <c r="E50" s="561"/>
    </row>
    <row r="51" spans="1:5" s="480" customFormat="1" ht="17.25">
      <c r="A51" s="334" t="s">
        <v>0</v>
      </c>
      <c r="B51" s="212"/>
      <c r="C51" s="225"/>
      <c r="D51" s="551" t="s">
        <v>335</v>
      </c>
      <c r="E51" s="551"/>
    </row>
    <row r="52" spans="1:5" s="480" customFormat="1" ht="17.25">
      <c r="A52" s="334"/>
      <c r="B52" s="212"/>
      <c r="C52" s="225"/>
      <c r="D52" s="370"/>
      <c r="E52" s="370"/>
    </row>
    <row r="53" spans="1:5" s="480" customFormat="1" ht="17.25">
      <c r="A53" s="334"/>
      <c r="B53" s="212"/>
      <c r="C53" s="127"/>
      <c r="D53" s="212"/>
      <c r="E53" s="127"/>
    </row>
    <row r="54" spans="1:5" s="480" customFormat="1" ht="17.25">
      <c r="A54" s="334"/>
      <c r="B54" s="212"/>
      <c r="C54" s="127"/>
      <c r="D54" s="212"/>
      <c r="E54" s="127"/>
    </row>
    <row r="55" spans="4:5" s="480" customFormat="1" ht="17.25">
      <c r="D55" s="234"/>
      <c r="E55" s="234"/>
    </row>
    <row r="56" spans="4:5" s="480" customFormat="1" ht="17.25">
      <c r="D56" s="234"/>
      <c r="E56" s="234"/>
    </row>
    <row r="57" spans="1:5" s="480" customFormat="1" ht="17.25">
      <c r="A57" s="334" t="s">
        <v>419</v>
      </c>
      <c r="D57" s="552" t="s">
        <v>581</v>
      </c>
      <c r="E57" s="552"/>
    </row>
    <row r="58" spans="4:5" s="480" customFormat="1" ht="17.25">
      <c r="D58" s="234"/>
      <c r="E58" s="234"/>
    </row>
    <row r="59" spans="4:5" s="480" customFormat="1" ht="17.25">
      <c r="D59" s="234"/>
      <c r="E59" s="234"/>
    </row>
    <row r="60" spans="4:5" s="480" customFormat="1" ht="17.25">
      <c r="D60" s="234"/>
      <c r="E60" s="234"/>
    </row>
  </sheetData>
  <mergeCells count="12">
    <mergeCell ref="D1:E2"/>
    <mergeCell ref="A4:E4"/>
    <mergeCell ref="A5:E5"/>
    <mergeCell ref="A6:E6"/>
    <mergeCell ref="A9:A10"/>
    <mergeCell ref="B9:B10"/>
    <mergeCell ref="C9:C10"/>
    <mergeCell ref="D9:E9"/>
    <mergeCell ref="D57:E57"/>
    <mergeCell ref="C50:E50"/>
    <mergeCell ref="D51:E51"/>
    <mergeCell ref="D7:E7"/>
  </mergeCells>
  <printOptions/>
  <pageMargins left="0.75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F269"/>
  <sheetViews>
    <sheetView workbookViewId="0" topLeftCell="A1">
      <selection activeCell="D18" sqref="D18"/>
    </sheetView>
  </sheetViews>
  <sheetFormatPr defaultColWidth="8.796875" defaultRowHeight="15"/>
  <cols>
    <col min="1" max="1" width="3.8984375" style="118" customWidth="1"/>
    <col min="2" max="2" width="42.69921875" style="118" customWidth="1"/>
    <col min="3" max="3" width="5.5" style="120" customWidth="1"/>
    <col min="4" max="5" width="15.69921875" style="195" bestFit="1" customWidth="1"/>
    <col min="6" max="6" width="15.69921875" style="118" bestFit="1" customWidth="1"/>
    <col min="7" max="16384" width="9" style="118" customWidth="1"/>
  </cols>
  <sheetData>
    <row r="1" spans="1:2" ht="18.75" customHeight="1">
      <c r="A1" s="103" t="s">
        <v>728</v>
      </c>
      <c r="B1" s="104"/>
    </row>
    <row r="2" ht="16.5">
      <c r="E2" s="25" t="s">
        <v>592</v>
      </c>
    </row>
    <row r="3" ht="6.75" customHeight="1">
      <c r="E3" s="25"/>
    </row>
    <row r="4" spans="1:5" s="239" customFormat="1" ht="16.5">
      <c r="A4" s="187" t="s">
        <v>485</v>
      </c>
      <c r="B4" s="198" t="s">
        <v>495</v>
      </c>
      <c r="C4" s="248"/>
      <c r="D4" s="250" t="s">
        <v>544</v>
      </c>
      <c r="E4" s="250" t="s">
        <v>325</v>
      </c>
    </row>
    <row r="5" spans="1:5" ht="16.5">
      <c r="A5" s="188">
        <v>1</v>
      </c>
      <c r="B5" s="246" t="s">
        <v>430</v>
      </c>
      <c r="C5" s="252"/>
      <c r="D5" s="191">
        <f>+KQKDok!E13</f>
        <v>103151786347</v>
      </c>
      <c r="E5" s="191">
        <f>+KQKDok!G13</f>
        <v>356268083983</v>
      </c>
    </row>
    <row r="6" spans="1:5" ht="16.5">
      <c r="A6" s="188">
        <v>2</v>
      </c>
      <c r="B6" s="246" t="s">
        <v>730</v>
      </c>
      <c r="C6" s="252"/>
      <c r="D6" s="191">
        <f>+KQKDok!E14</f>
        <v>245316237</v>
      </c>
      <c r="E6" s="191">
        <f>+KQKDok!G14</f>
        <v>359197757</v>
      </c>
    </row>
    <row r="7" spans="1:5" ht="16.5">
      <c r="A7" s="188">
        <v>3</v>
      </c>
      <c r="B7" s="246" t="s">
        <v>729</v>
      </c>
      <c r="C7" s="252"/>
      <c r="D7" s="191">
        <f>+D5-D6</f>
        <v>102906470110</v>
      </c>
      <c r="E7" s="191">
        <f>+E5-E6</f>
        <v>355908886226</v>
      </c>
    </row>
    <row r="8" spans="1:6" ht="16.5">
      <c r="A8" s="188">
        <v>4</v>
      </c>
      <c r="B8" s="246" t="s">
        <v>498</v>
      </c>
      <c r="C8" s="252"/>
      <c r="D8" s="191">
        <f>+KQKDok!E16</f>
        <v>75914228768</v>
      </c>
      <c r="E8" s="191">
        <f>+KQKDok!G16</f>
        <v>267706080576</v>
      </c>
      <c r="F8" s="439"/>
    </row>
    <row r="9" spans="1:5" ht="16.5">
      <c r="A9" s="188">
        <v>5</v>
      </c>
      <c r="B9" s="246" t="s">
        <v>731</v>
      </c>
      <c r="C9" s="252"/>
      <c r="D9" s="191">
        <f>+D7-D8</f>
        <v>26992241342</v>
      </c>
      <c r="E9" s="191">
        <f>+E7-E8</f>
        <v>88202805650</v>
      </c>
    </row>
    <row r="10" spans="1:5" ht="16.5">
      <c r="A10" s="188">
        <v>6</v>
      </c>
      <c r="B10" s="246" t="s">
        <v>501</v>
      </c>
      <c r="C10" s="252"/>
      <c r="D10" s="191">
        <f>+KQKDok!E18</f>
        <v>584474291</v>
      </c>
      <c r="E10" s="191">
        <f>+KQKDok!G18</f>
        <v>1781977041</v>
      </c>
    </row>
    <row r="11" spans="1:5" ht="16.5">
      <c r="A11" s="188">
        <v>7</v>
      </c>
      <c r="B11" s="246" t="s">
        <v>433</v>
      </c>
      <c r="C11" s="252"/>
      <c r="D11" s="191">
        <f>+KQKDok!E19</f>
        <v>1126918059</v>
      </c>
      <c r="E11" s="191">
        <f>+KQKDok!G19</f>
        <v>5150675421</v>
      </c>
    </row>
    <row r="12" spans="1:5" ht="16.5">
      <c r="A12" s="188">
        <v>8</v>
      </c>
      <c r="B12" s="246" t="s">
        <v>499</v>
      </c>
      <c r="C12" s="252"/>
      <c r="D12" s="191">
        <f>+KQKDok!E21</f>
        <v>12562495213</v>
      </c>
      <c r="E12" s="191">
        <f>+KQKDok!G21</f>
        <v>28422799033</v>
      </c>
    </row>
    <row r="13" spans="1:5" ht="16.5">
      <c r="A13" s="188">
        <v>9</v>
      </c>
      <c r="B13" s="246" t="s">
        <v>500</v>
      </c>
      <c r="C13" s="252"/>
      <c r="D13" s="191">
        <f>+KQKDok!E22</f>
        <v>11792086203</v>
      </c>
      <c r="E13" s="191">
        <f>+KQKDok!G22</f>
        <v>39587509379</v>
      </c>
    </row>
    <row r="14" spans="1:5" ht="16.5">
      <c r="A14" s="188">
        <v>10</v>
      </c>
      <c r="B14" s="246" t="s">
        <v>732</v>
      </c>
      <c r="C14" s="252"/>
      <c r="D14" s="191">
        <f>+D9+D10-D11-D12-D13</f>
        <v>2095216158</v>
      </c>
      <c r="E14" s="191">
        <f>+E9+E10-E11-E12-E13</f>
        <v>16823798858</v>
      </c>
    </row>
    <row r="15" spans="1:5" ht="16.5">
      <c r="A15" s="188">
        <v>11</v>
      </c>
      <c r="B15" s="246" t="s">
        <v>504</v>
      </c>
      <c r="C15" s="252"/>
      <c r="D15" s="191">
        <f>+KQKDok!E24</f>
        <v>46500000</v>
      </c>
      <c r="E15" s="191">
        <f>+KQKDok!G24</f>
        <v>562934302</v>
      </c>
    </row>
    <row r="16" spans="1:5" ht="16.5">
      <c r="A16" s="188">
        <v>12</v>
      </c>
      <c r="B16" s="246" t="s">
        <v>505</v>
      </c>
      <c r="C16" s="252"/>
      <c r="D16" s="191">
        <f>+KQKDok!E25</f>
        <v>31066017</v>
      </c>
      <c r="E16" s="191">
        <f>+KQKDok!G25</f>
        <v>76083018</v>
      </c>
    </row>
    <row r="17" spans="1:5" ht="16.5">
      <c r="A17" s="188">
        <v>13</v>
      </c>
      <c r="B17" s="246" t="s">
        <v>733</v>
      </c>
      <c r="C17" s="252"/>
      <c r="D17" s="191">
        <f>+D15-D16</f>
        <v>15433983</v>
      </c>
      <c r="E17" s="191">
        <f>+E15-E16</f>
        <v>486851284</v>
      </c>
    </row>
    <row r="18" spans="1:5" s="24" customFormat="1" ht="16.5">
      <c r="A18" s="61">
        <v>14</v>
      </c>
      <c r="B18" s="247" t="s">
        <v>734</v>
      </c>
      <c r="C18" s="253"/>
      <c r="D18" s="28">
        <f>+D14+D17</f>
        <v>2110650141</v>
      </c>
      <c r="E18" s="28">
        <f>+E14+E17</f>
        <v>17310650142</v>
      </c>
    </row>
    <row r="19" spans="1:5" ht="16.5">
      <c r="A19" s="188">
        <v>15</v>
      </c>
      <c r="B19" s="246" t="s">
        <v>517</v>
      </c>
      <c r="C19" s="252"/>
      <c r="D19" s="191">
        <f>+KQKDok!E28</f>
        <v>419311122</v>
      </c>
      <c r="E19" s="191">
        <f>+KQKDok!G28</f>
        <v>3159794919</v>
      </c>
    </row>
    <row r="20" spans="1:5" ht="16.5">
      <c r="A20" s="188">
        <v>16</v>
      </c>
      <c r="B20" s="246" t="s">
        <v>324</v>
      </c>
      <c r="C20" s="252"/>
      <c r="D20" s="191">
        <f>+KQKDok!E29</f>
        <v>0</v>
      </c>
      <c r="E20" s="191">
        <f>+KQKDok!G29</f>
        <v>0</v>
      </c>
    </row>
    <row r="21" spans="1:5" ht="16.5">
      <c r="A21" s="188">
        <v>16</v>
      </c>
      <c r="B21" s="246" t="s">
        <v>735</v>
      </c>
      <c r="C21" s="252"/>
      <c r="D21" s="191">
        <f>+D18-D19</f>
        <v>1691339019</v>
      </c>
      <c r="E21" s="191">
        <f>+E18-E19</f>
        <v>14150855223</v>
      </c>
    </row>
    <row r="22" spans="1:5" ht="16.5">
      <c r="A22" s="188">
        <v>17</v>
      </c>
      <c r="B22" s="246" t="s">
        <v>519</v>
      </c>
      <c r="C22" s="252"/>
      <c r="D22" s="191">
        <f>+KQKDok!E31</f>
        <v>362.21010935439085</v>
      </c>
      <c r="E22" s="191">
        <f>+KQKDok!G31</f>
        <v>3030.488128164554</v>
      </c>
    </row>
    <row r="23" spans="1:5" ht="16.5">
      <c r="A23" s="192">
        <v>18</v>
      </c>
      <c r="B23" s="249" t="s">
        <v>526</v>
      </c>
      <c r="C23" s="254"/>
      <c r="D23" s="194">
        <f>+KQKDok!E32</f>
        <v>1000</v>
      </c>
      <c r="E23" s="194">
        <f>+KQKDok!G32</f>
        <v>1599</v>
      </c>
    </row>
    <row r="25" spans="1:2" ht="15.75" customHeight="1" hidden="1">
      <c r="A25" s="196" t="s">
        <v>736</v>
      </c>
      <c r="B25" s="197"/>
    </row>
    <row r="26" spans="1:2" ht="15.75" customHeight="1" hidden="1">
      <c r="A26" s="262" t="s">
        <v>336</v>
      </c>
      <c r="B26" s="197"/>
    </row>
    <row r="27" spans="1:2" ht="15" customHeight="1" hidden="1">
      <c r="A27" s="196"/>
      <c r="B27" s="197"/>
    </row>
    <row r="28" spans="1:5" ht="19.5" customHeight="1" hidden="1">
      <c r="A28" s="187" t="s">
        <v>485</v>
      </c>
      <c r="B28" s="187" t="s">
        <v>495</v>
      </c>
      <c r="C28" s="187" t="s">
        <v>326</v>
      </c>
      <c r="D28" s="250" t="s">
        <v>628</v>
      </c>
      <c r="E28" s="250" t="s">
        <v>252</v>
      </c>
    </row>
    <row r="29" spans="1:5" s="119" customFormat="1" ht="19.5" customHeight="1" hidden="1">
      <c r="A29" s="256">
        <v>1</v>
      </c>
      <c r="B29" s="251" t="s">
        <v>328</v>
      </c>
      <c r="C29" s="255" t="s">
        <v>327</v>
      </c>
      <c r="D29" s="251"/>
      <c r="E29" s="259"/>
    </row>
    <row r="30" spans="1:5" ht="19.5" customHeight="1" hidden="1">
      <c r="A30" s="190" t="s">
        <v>737</v>
      </c>
      <c r="B30" s="188" t="s">
        <v>738</v>
      </c>
      <c r="C30" s="190"/>
      <c r="D30" s="328">
        <f>+'CDKT TOM LUOC-NOPCHUNG KHOAN OK'!C22/'CDKT TOM LUOC-NOPCHUNG KHOAN OK'!C30%</f>
        <v>41.85467022402265</v>
      </c>
      <c r="E30" s="328">
        <f>+'CDKT TOM LUOC-NOPCHUNG KHOAN OK'!D22/'CDKT TOM LUOC-NOPCHUNG KHOAN OK'!D30%</f>
        <v>31.428283065446607</v>
      </c>
    </row>
    <row r="31" spans="1:5" ht="19.5" customHeight="1" hidden="1">
      <c r="A31" s="190" t="s">
        <v>737</v>
      </c>
      <c r="B31" s="188" t="s">
        <v>739</v>
      </c>
      <c r="C31" s="190"/>
      <c r="D31" s="328">
        <f>+'CDKT TOM LUOC-NOPCHUNG KHOAN OK'!C13/'CDKT TOM LUOC-NOPCHUNG KHOAN OK'!C30%</f>
        <v>50.70698473737557</v>
      </c>
      <c r="E31" s="328">
        <f>+'CDKT TOM LUOC-NOPCHUNG KHOAN OK'!D13/'CDKT TOM LUOC-NOPCHUNG KHOAN OK'!D30%</f>
        <v>62.89343617429458</v>
      </c>
    </row>
    <row r="32" spans="1:5" s="119" customFormat="1" ht="19.5" customHeight="1" hidden="1">
      <c r="A32" s="256">
        <v>2</v>
      </c>
      <c r="B32" s="251" t="s">
        <v>329</v>
      </c>
      <c r="C32" s="256" t="s">
        <v>327</v>
      </c>
      <c r="D32" s="251"/>
      <c r="E32" s="260"/>
    </row>
    <row r="33" spans="1:5" ht="19.5" customHeight="1" hidden="1">
      <c r="A33" s="190" t="s">
        <v>737</v>
      </c>
      <c r="B33" s="188" t="s">
        <v>740</v>
      </c>
      <c r="C33" s="190"/>
      <c r="D33" s="328">
        <f>+'CDKT TOM LUOC-NOPCHUNG KHOAN OK'!C31/'CDKT TOM LUOC-NOPCHUNG KHOAN OK'!C49%</f>
        <v>67.45930319566793</v>
      </c>
      <c r="E33" s="328">
        <f>+'CDKT TOM LUOC-NOPCHUNG KHOAN OK'!D31/'CDKT TOM LUOC-NOPCHUNG KHOAN OK'!D49%</f>
        <v>40.12879973253413</v>
      </c>
    </row>
    <row r="34" spans="1:5" ht="19.5" customHeight="1" hidden="1">
      <c r="A34" s="190" t="s">
        <v>737</v>
      </c>
      <c r="B34" s="188" t="s">
        <v>741</v>
      </c>
      <c r="C34" s="190"/>
      <c r="D34" s="328">
        <f>+'CDKT TOM LUOC-NOPCHUNG KHOAN OK'!C34/'CDKT TOM LUOC-NOPCHUNG KHOAN OK'!C49%</f>
        <v>32.540696804332065</v>
      </c>
      <c r="E34" s="328">
        <f>+'CDKT TOM LUOC-NOPCHUNG KHOAN OK'!D34/'CDKT TOM LUOC-NOPCHUNG KHOAN OK'!D49%</f>
        <v>59.87120026746587</v>
      </c>
    </row>
    <row r="35" spans="1:5" ht="19.5" customHeight="1" hidden="1">
      <c r="A35" s="257">
        <v>3</v>
      </c>
      <c r="B35" s="199" t="s">
        <v>330</v>
      </c>
      <c r="C35" s="257" t="s">
        <v>331</v>
      </c>
      <c r="D35" s="199"/>
      <c r="E35" s="199"/>
    </row>
    <row r="36" spans="1:5" ht="19.5" customHeight="1" hidden="1">
      <c r="A36" s="190" t="s">
        <v>737</v>
      </c>
      <c r="B36" s="188" t="s">
        <v>337</v>
      </c>
      <c r="C36" s="190"/>
      <c r="D36" s="261">
        <f>+('CDKT TOM LUOC-NOPCHUNG KHOAN OK'!C14+'CDKT TOM LUOC-NOPCHUNG KHOAN OK'!C15)/'CDKT TOM LUOC-NOPCHUNG KHOAN OK'!C32</f>
        <v>0.10472802332399085</v>
      </c>
      <c r="E36" s="261">
        <f>+('CDKT TOM LUOC-NOPCHUNG KHOAN OK'!D14+'CDKT TOM LUOC-NOPCHUNG KHOAN OK'!D15)/'CDKT TOM LUOC-NOPCHUNG KHOAN OK'!D32</f>
        <v>0.5707020081691508</v>
      </c>
    </row>
    <row r="37" spans="1:5" ht="19.5" customHeight="1" hidden="1">
      <c r="A37" s="190"/>
      <c r="B37" s="188" t="s">
        <v>338</v>
      </c>
      <c r="C37" s="190"/>
      <c r="D37" s="188"/>
      <c r="E37" s="188"/>
    </row>
    <row r="38" spans="1:5" ht="19.5" customHeight="1" hidden="1">
      <c r="A38" s="190" t="s">
        <v>737</v>
      </c>
      <c r="B38" s="188" t="s">
        <v>742</v>
      </c>
      <c r="C38" s="190"/>
      <c r="D38" s="261">
        <f>+'CDKT TOM LUOC-NOPCHUNG KHOAN OK'!C30/'CDKT TOM LUOC-NOPCHUNG KHOAN OK'!C31</f>
        <v>1.4823752286611485</v>
      </c>
      <c r="E38" s="261">
        <f>+'CDKT TOM LUOC-NOPCHUNG KHOAN OK'!D30/'CDKT TOM LUOC-NOPCHUNG KHOAN OK'!D31</f>
        <v>2.4919758544117565</v>
      </c>
    </row>
    <row r="39" spans="1:5" ht="19.5" customHeight="1" hidden="1">
      <c r="A39" s="267"/>
      <c r="B39" s="263" t="s">
        <v>339</v>
      </c>
      <c r="C39" s="189"/>
      <c r="D39" s="188"/>
      <c r="E39" s="188"/>
    </row>
    <row r="40" spans="1:5" ht="19.5" customHeight="1" hidden="1">
      <c r="A40" s="264">
        <v>4</v>
      </c>
      <c r="B40" s="200" t="s">
        <v>334</v>
      </c>
      <c r="C40" s="264" t="s">
        <v>327</v>
      </c>
      <c r="D40" s="200"/>
      <c r="E40" s="200"/>
    </row>
    <row r="41" spans="1:5" s="104" customFormat="1" ht="19.5" customHeight="1" hidden="1">
      <c r="A41" s="190" t="s">
        <v>737</v>
      </c>
      <c r="B41" s="188" t="s">
        <v>332</v>
      </c>
      <c r="C41" s="258"/>
      <c r="D41" s="328">
        <f>+D21/'CDKT TOM LUOC-NOPCHUNG KHOAN OK'!C30%</f>
        <v>1.392849865626545</v>
      </c>
      <c r="E41" s="328">
        <f>+E21/'CDKT TOM LUOC-NOPCHUNG KHOAN OK'!D30%</f>
        <v>7.794143021760349</v>
      </c>
    </row>
    <row r="42" spans="1:5" ht="19.5" customHeight="1" hidden="1">
      <c r="A42" s="190" t="s">
        <v>737</v>
      </c>
      <c r="B42" s="188" t="s">
        <v>333</v>
      </c>
      <c r="C42" s="190"/>
      <c r="D42" s="328">
        <f>+D21/D7%</f>
        <v>1.6435691722707755</v>
      </c>
      <c r="E42" s="328">
        <f>+E21/E7%</f>
        <v>3.9759769341680027</v>
      </c>
    </row>
    <row r="43" spans="1:5" ht="19.5" customHeight="1" hidden="1">
      <c r="A43" s="193" t="s">
        <v>737</v>
      </c>
      <c r="B43" s="192" t="s">
        <v>743</v>
      </c>
      <c r="C43" s="193"/>
      <c r="D43" s="329">
        <f>+D21/'CDKT TOM LUOC-NOPCHUNG KHOAN OK'!C34%</f>
        <v>4.280332022395778</v>
      </c>
      <c r="E43" s="329">
        <f>+E21/'CDKT TOM LUOC-NOPCHUNG KHOAN OK'!D34%</f>
        <v>13.01818401325036</v>
      </c>
    </row>
    <row r="44" spans="1:5" ht="13.5" customHeight="1">
      <c r="A44" s="265"/>
      <c r="B44" s="204"/>
      <c r="C44" s="205"/>
      <c r="D44" s="266"/>
      <c r="E44" s="266"/>
    </row>
    <row r="45" spans="1:5" ht="16.5">
      <c r="A45" s="201"/>
      <c r="B45" s="202"/>
      <c r="C45" s="511" t="s">
        <v>545</v>
      </c>
      <c r="D45" s="511"/>
      <c r="E45" s="511"/>
    </row>
    <row r="46" spans="2:5" ht="16.5">
      <c r="B46" s="203"/>
      <c r="C46" s="510" t="s">
        <v>335</v>
      </c>
      <c r="D46" s="510"/>
      <c r="E46" s="510"/>
    </row>
    <row r="47" spans="2:5" ht="17.25" customHeight="1">
      <c r="B47" s="202"/>
      <c r="C47" s="512" t="s">
        <v>492</v>
      </c>
      <c r="D47" s="512"/>
      <c r="E47" s="512"/>
    </row>
    <row r="48" spans="2:5" ht="17.25">
      <c r="B48" s="202"/>
      <c r="C48" s="108"/>
      <c r="D48"/>
      <c r="E48"/>
    </row>
    <row r="49" spans="3:5" ht="17.25">
      <c r="C49" s="108"/>
      <c r="D49"/>
      <c r="E49"/>
    </row>
    <row r="50" spans="3:5" ht="17.25">
      <c r="C50" s="108"/>
      <c r="D50"/>
      <c r="E50"/>
    </row>
    <row r="51" spans="3:5" ht="17.25">
      <c r="C51" s="108"/>
      <c r="D51"/>
      <c r="E51"/>
    </row>
    <row r="52" spans="3:5" ht="17.25" customHeight="1">
      <c r="C52" s="510" t="s">
        <v>315</v>
      </c>
      <c r="D52" s="510"/>
      <c r="E52" s="510"/>
    </row>
    <row r="54" ht="16.5" hidden="1">
      <c r="D54" s="440">
        <f>46694970000/10000</f>
        <v>4669497</v>
      </c>
    </row>
    <row r="59" spans="1:2" ht="16.5">
      <c r="A59" s="204"/>
      <c r="B59" s="204"/>
    </row>
    <row r="60" spans="1:2" ht="16.5">
      <c r="A60" s="204"/>
      <c r="B60" s="204"/>
    </row>
    <row r="61" spans="1:2" ht="16.5">
      <c r="A61" s="204"/>
      <c r="B61" s="204"/>
    </row>
    <row r="62" spans="1:2" ht="16.5">
      <c r="A62" s="204"/>
      <c r="B62" s="204"/>
    </row>
    <row r="63" spans="1:2" ht="16.5">
      <c r="A63" s="204"/>
      <c r="B63" s="204"/>
    </row>
    <row r="64" spans="1:2" ht="16.5">
      <c r="A64" s="204"/>
      <c r="B64" s="204"/>
    </row>
    <row r="65" spans="1:2" ht="16.5">
      <c r="A65" s="204"/>
      <c r="B65" s="204"/>
    </row>
    <row r="66" spans="1:2" ht="16.5">
      <c r="A66" s="204"/>
      <c r="B66" s="204"/>
    </row>
    <row r="67" spans="1:2" ht="16.5">
      <c r="A67" s="204"/>
      <c r="B67" s="204"/>
    </row>
    <row r="68" spans="1:2" ht="16.5">
      <c r="A68" s="204"/>
      <c r="B68" s="204"/>
    </row>
    <row r="69" spans="1:2" ht="16.5">
      <c r="A69" s="204"/>
      <c r="B69" s="204"/>
    </row>
    <row r="70" spans="1:2" ht="16.5">
      <c r="A70" s="204"/>
      <c r="B70" s="204"/>
    </row>
    <row r="71" spans="1:2" ht="16.5">
      <c r="A71" s="204"/>
      <c r="B71" s="204"/>
    </row>
    <row r="72" spans="1:2" ht="16.5">
      <c r="A72" s="204"/>
      <c r="B72" s="204"/>
    </row>
    <row r="73" spans="1:2" ht="16.5">
      <c r="A73" s="204"/>
      <c r="B73" s="204"/>
    </row>
    <row r="74" spans="1:2" ht="16.5">
      <c r="A74" s="204"/>
      <c r="B74" s="204"/>
    </row>
    <row r="75" spans="1:2" ht="16.5">
      <c r="A75" s="204"/>
      <c r="B75" s="204"/>
    </row>
    <row r="76" spans="1:2" ht="16.5">
      <c r="A76" s="204"/>
      <c r="B76" s="204"/>
    </row>
    <row r="77" spans="1:2" ht="16.5">
      <c r="A77" s="204"/>
      <c r="B77" s="204"/>
    </row>
    <row r="78" spans="1:2" ht="16.5">
      <c r="A78" s="204"/>
      <c r="B78" s="204"/>
    </row>
    <row r="79" spans="1:2" ht="16.5">
      <c r="A79" s="204"/>
      <c r="B79" s="204"/>
    </row>
    <row r="80" spans="1:2" ht="16.5">
      <c r="A80" s="204"/>
      <c r="B80" s="204"/>
    </row>
    <row r="81" spans="1:2" ht="16.5">
      <c r="A81" s="204"/>
      <c r="B81" s="204"/>
    </row>
    <row r="82" spans="1:2" ht="16.5">
      <c r="A82" s="204"/>
      <c r="B82" s="204"/>
    </row>
    <row r="83" spans="1:2" ht="16.5">
      <c r="A83" s="204"/>
      <c r="B83" s="204"/>
    </row>
    <row r="84" spans="1:2" ht="16.5">
      <c r="A84" s="204"/>
      <c r="B84" s="204"/>
    </row>
    <row r="85" spans="1:2" ht="16.5">
      <c r="A85" s="204"/>
      <c r="B85" s="204"/>
    </row>
    <row r="86" spans="1:2" ht="16.5">
      <c r="A86" s="204"/>
      <c r="B86" s="204"/>
    </row>
    <row r="87" spans="1:2" ht="16.5">
      <c r="A87" s="204"/>
      <c r="B87" s="204"/>
    </row>
    <row r="88" spans="1:2" ht="16.5">
      <c r="A88" s="204"/>
      <c r="B88" s="204"/>
    </row>
    <row r="89" spans="1:2" ht="16.5">
      <c r="A89" s="204"/>
      <c r="B89" s="204"/>
    </row>
    <row r="90" spans="1:2" ht="16.5">
      <c r="A90" s="204"/>
      <c r="B90" s="204"/>
    </row>
    <row r="91" spans="1:2" ht="16.5">
      <c r="A91" s="204"/>
      <c r="B91" s="204"/>
    </row>
    <row r="92" spans="1:2" ht="16.5">
      <c r="A92" s="204"/>
      <c r="B92" s="204"/>
    </row>
    <row r="93" spans="1:2" ht="16.5">
      <c r="A93" s="204"/>
      <c r="B93" s="204"/>
    </row>
    <row r="94" spans="1:2" ht="16.5">
      <c r="A94" s="204"/>
      <c r="B94" s="204"/>
    </row>
    <row r="95" spans="1:2" ht="16.5">
      <c r="A95" s="204"/>
      <c r="B95" s="204"/>
    </row>
    <row r="96" spans="1:2" ht="16.5">
      <c r="A96" s="204"/>
      <c r="B96" s="204"/>
    </row>
    <row r="97" spans="1:2" ht="16.5">
      <c r="A97" s="204"/>
      <c r="B97" s="204"/>
    </row>
    <row r="98" spans="1:2" ht="16.5">
      <c r="A98" s="204"/>
      <c r="B98" s="204"/>
    </row>
    <row r="99" spans="1:2" ht="16.5">
      <c r="A99" s="204"/>
      <c r="B99" s="204"/>
    </row>
    <row r="100" spans="1:2" ht="16.5">
      <c r="A100" s="204"/>
      <c r="B100" s="204"/>
    </row>
    <row r="101" spans="1:2" ht="16.5">
      <c r="A101" s="204"/>
      <c r="B101" s="204"/>
    </row>
    <row r="102" spans="1:2" ht="16.5">
      <c r="A102" s="204"/>
      <c r="B102" s="204"/>
    </row>
    <row r="103" spans="1:2" ht="16.5">
      <c r="A103" s="204"/>
      <c r="B103" s="204"/>
    </row>
    <row r="104" spans="1:2" ht="16.5">
      <c r="A104" s="204"/>
      <c r="B104" s="204"/>
    </row>
    <row r="105" spans="1:2" ht="16.5">
      <c r="A105" s="204"/>
      <c r="B105" s="204"/>
    </row>
    <row r="106" spans="1:2" ht="16.5">
      <c r="A106" s="204"/>
      <c r="B106" s="204"/>
    </row>
    <row r="107" spans="1:2" ht="16.5">
      <c r="A107" s="204"/>
      <c r="B107" s="204"/>
    </row>
    <row r="108" spans="1:2" ht="16.5">
      <c r="A108" s="204"/>
      <c r="B108" s="204"/>
    </row>
    <row r="109" spans="1:2" ht="16.5">
      <c r="A109" s="204"/>
      <c r="B109" s="204"/>
    </row>
    <row r="110" spans="1:2" ht="16.5">
      <c r="A110" s="204"/>
      <c r="B110" s="204"/>
    </row>
    <row r="111" spans="1:2" ht="16.5">
      <c r="A111" s="204"/>
      <c r="B111" s="204"/>
    </row>
    <row r="112" spans="1:2" ht="16.5">
      <c r="A112" s="204"/>
      <c r="B112" s="204"/>
    </row>
    <row r="113" spans="1:2" ht="16.5">
      <c r="A113" s="204"/>
      <c r="B113" s="204"/>
    </row>
    <row r="114" spans="1:2" ht="16.5">
      <c r="A114" s="204"/>
      <c r="B114" s="204"/>
    </row>
    <row r="115" spans="1:2" ht="16.5">
      <c r="A115" s="204"/>
      <c r="B115" s="204"/>
    </row>
    <row r="116" spans="1:2" ht="16.5">
      <c r="A116" s="204"/>
      <c r="B116" s="204"/>
    </row>
    <row r="117" spans="1:2" ht="16.5">
      <c r="A117" s="204"/>
      <c r="B117" s="204"/>
    </row>
    <row r="118" spans="1:2" ht="16.5">
      <c r="A118" s="204"/>
      <c r="B118" s="204"/>
    </row>
    <row r="119" spans="1:2" ht="16.5">
      <c r="A119" s="204"/>
      <c r="B119" s="204"/>
    </row>
    <row r="120" spans="1:2" ht="16.5">
      <c r="A120" s="204"/>
      <c r="B120" s="204"/>
    </row>
    <row r="121" spans="1:2" ht="16.5">
      <c r="A121" s="204"/>
      <c r="B121" s="204"/>
    </row>
    <row r="122" spans="1:2" ht="16.5">
      <c r="A122" s="204"/>
      <c r="B122" s="204"/>
    </row>
    <row r="123" spans="1:2" ht="16.5">
      <c r="A123" s="204"/>
      <c r="B123" s="204"/>
    </row>
    <row r="124" spans="1:2" ht="16.5">
      <c r="A124" s="204"/>
      <c r="B124" s="204"/>
    </row>
    <row r="125" spans="1:2" ht="16.5">
      <c r="A125" s="204"/>
      <c r="B125" s="204"/>
    </row>
    <row r="126" spans="1:2" ht="16.5">
      <c r="A126" s="204"/>
      <c r="B126" s="204"/>
    </row>
    <row r="127" spans="1:2" ht="16.5">
      <c r="A127" s="204"/>
      <c r="B127" s="204"/>
    </row>
    <row r="128" spans="1:2" ht="16.5">
      <c r="A128" s="204"/>
      <c r="B128" s="204"/>
    </row>
    <row r="129" spans="1:2" ht="16.5">
      <c r="A129" s="204"/>
      <c r="B129" s="204"/>
    </row>
    <row r="130" spans="1:2" ht="16.5">
      <c r="A130" s="204"/>
      <c r="B130" s="204"/>
    </row>
    <row r="131" spans="1:2" ht="16.5">
      <c r="A131" s="204"/>
      <c r="B131" s="204"/>
    </row>
    <row r="132" spans="1:2" ht="16.5">
      <c r="A132" s="204"/>
      <c r="B132" s="204"/>
    </row>
    <row r="133" spans="1:2" ht="16.5">
      <c r="A133" s="204"/>
      <c r="B133" s="204"/>
    </row>
    <row r="134" spans="1:2" ht="16.5">
      <c r="A134" s="204"/>
      <c r="B134" s="204"/>
    </row>
    <row r="135" spans="1:2" ht="16.5">
      <c r="A135" s="204"/>
      <c r="B135" s="204"/>
    </row>
    <row r="136" spans="1:2" ht="16.5">
      <c r="A136" s="204"/>
      <c r="B136" s="204"/>
    </row>
    <row r="137" spans="1:2" ht="16.5">
      <c r="A137" s="204"/>
      <c r="B137" s="204"/>
    </row>
    <row r="138" spans="1:2" ht="16.5">
      <c r="A138" s="204"/>
      <c r="B138" s="204"/>
    </row>
    <row r="139" spans="1:2" ht="16.5">
      <c r="A139" s="204"/>
      <c r="B139" s="204"/>
    </row>
    <row r="140" spans="1:2" ht="16.5">
      <c r="A140" s="204"/>
      <c r="B140" s="204"/>
    </row>
    <row r="141" spans="1:2" ht="16.5">
      <c r="A141" s="204"/>
      <c r="B141" s="204"/>
    </row>
    <row r="142" spans="1:2" ht="16.5">
      <c r="A142" s="204"/>
      <c r="B142" s="204"/>
    </row>
    <row r="143" spans="1:2" ht="16.5">
      <c r="A143" s="204"/>
      <c r="B143" s="204"/>
    </row>
    <row r="144" spans="1:2" ht="16.5">
      <c r="A144" s="204"/>
      <c r="B144" s="204"/>
    </row>
    <row r="145" spans="1:2" ht="16.5">
      <c r="A145" s="204"/>
      <c r="B145" s="204"/>
    </row>
    <row r="146" spans="1:2" ht="16.5">
      <c r="A146" s="204"/>
      <c r="B146" s="204"/>
    </row>
    <row r="147" spans="1:2" ht="16.5">
      <c r="A147" s="204"/>
      <c r="B147" s="204"/>
    </row>
    <row r="148" spans="1:2" ht="16.5">
      <c r="A148" s="204"/>
      <c r="B148" s="204"/>
    </row>
    <row r="149" spans="1:2" ht="16.5">
      <c r="A149" s="204"/>
      <c r="B149" s="204"/>
    </row>
    <row r="150" spans="1:2" ht="16.5">
      <c r="A150" s="204"/>
      <c r="B150" s="204"/>
    </row>
    <row r="151" spans="1:2" ht="16.5">
      <c r="A151" s="204"/>
      <c r="B151" s="204"/>
    </row>
    <row r="152" spans="1:2" ht="16.5">
      <c r="A152" s="204"/>
      <c r="B152" s="204"/>
    </row>
    <row r="153" spans="1:2" ht="16.5">
      <c r="A153" s="204"/>
      <c r="B153" s="204"/>
    </row>
    <row r="154" spans="1:2" ht="16.5">
      <c r="A154" s="204"/>
      <c r="B154" s="204"/>
    </row>
    <row r="155" spans="1:2" ht="16.5">
      <c r="A155" s="204"/>
      <c r="B155" s="204"/>
    </row>
    <row r="156" spans="1:2" ht="16.5">
      <c r="A156" s="204"/>
      <c r="B156" s="204"/>
    </row>
    <row r="157" spans="1:2" ht="16.5">
      <c r="A157" s="204"/>
      <c r="B157" s="204"/>
    </row>
    <row r="158" spans="1:2" ht="16.5">
      <c r="A158" s="204"/>
      <c r="B158" s="204"/>
    </row>
    <row r="159" spans="1:2" ht="16.5">
      <c r="A159" s="204"/>
      <c r="B159" s="204"/>
    </row>
    <row r="160" spans="1:2" ht="16.5">
      <c r="A160" s="204"/>
      <c r="B160" s="204"/>
    </row>
    <row r="161" spans="1:2" ht="16.5">
      <c r="A161" s="204"/>
      <c r="B161" s="204"/>
    </row>
    <row r="162" spans="1:2" ht="16.5">
      <c r="A162" s="204"/>
      <c r="B162" s="204"/>
    </row>
    <row r="163" spans="1:2" ht="16.5">
      <c r="A163" s="204"/>
      <c r="B163" s="204"/>
    </row>
    <row r="164" spans="1:2" ht="16.5">
      <c r="A164" s="204"/>
      <c r="B164" s="204"/>
    </row>
    <row r="165" spans="1:2" ht="16.5">
      <c r="A165" s="204"/>
      <c r="B165" s="204"/>
    </row>
    <row r="166" spans="1:2" ht="16.5">
      <c r="A166" s="204"/>
      <c r="B166" s="204"/>
    </row>
    <row r="167" spans="1:2" ht="16.5">
      <c r="A167" s="204"/>
      <c r="B167" s="204"/>
    </row>
    <row r="168" spans="1:2" ht="16.5">
      <c r="A168" s="204"/>
      <c r="B168" s="204"/>
    </row>
    <row r="169" spans="1:2" ht="16.5">
      <c r="A169" s="204"/>
      <c r="B169" s="204"/>
    </row>
    <row r="170" spans="1:2" ht="16.5">
      <c r="A170" s="204"/>
      <c r="B170" s="204"/>
    </row>
    <row r="171" spans="1:2" ht="16.5">
      <c r="A171" s="204"/>
      <c r="B171" s="204"/>
    </row>
    <row r="172" spans="1:2" ht="16.5">
      <c r="A172" s="204"/>
      <c r="B172" s="204"/>
    </row>
    <row r="173" spans="1:2" ht="16.5">
      <c r="A173" s="204"/>
      <c r="B173" s="204"/>
    </row>
    <row r="174" spans="1:2" ht="16.5">
      <c r="A174" s="204"/>
      <c r="B174" s="204"/>
    </row>
    <row r="175" spans="1:2" ht="16.5">
      <c r="A175" s="204"/>
      <c r="B175" s="204"/>
    </row>
    <row r="176" spans="1:2" ht="16.5">
      <c r="A176" s="204"/>
      <c r="B176" s="204"/>
    </row>
    <row r="177" spans="1:2" ht="16.5">
      <c r="A177" s="204"/>
      <c r="B177" s="204"/>
    </row>
    <row r="178" spans="1:2" ht="16.5">
      <c r="A178" s="204"/>
      <c r="B178" s="204"/>
    </row>
    <row r="179" spans="1:2" ht="16.5">
      <c r="A179" s="204"/>
      <c r="B179" s="204"/>
    </row>
    <row r="180" spans="1:2" ht="16.5">
      <c r="A180" s="204"/>
      <c r="B180" s="204"/>
    </row>
    <row r="181" spans="1:2" ht="16.5">
      <c r="A181" s="204"/>
      <c r="B181" s="204"/>
    </row>
    <row r="182" spans="1:2" ht="16.5">
      <c r="A182" s="204"/>
      <c r="B182" s="204"/>
    </row>
    <row r="183" spans="1:2" ht="16.5">
      <c r="A183" s="204"/>
      <c r="B183" s="204"/>
    </row>
    <row r="184" spans="1:2" ht="16.5">
      <c r="A184" s="204"/>
      <c r="B184" s="204"/>
    </row>
    <row r="185" spans="1:2" ht="16.5">
      <c r="A185" s="204"/>
      <c r="B185" s="204"/>
    </row>
    <row r="186" spans="1:2" ht="16.5">
      <c r="A186" s="204"/>
      <c r="B186" s="204"/>
    </row>
    <row r="187" spans="1:2" ht="16.5">
      <c r="A187" s="204"/>
      <c r="B187" s="204"/>
    </row>
    <row r="188" spans="1:2" ht="16.5">
      <c r="A188" s="204"/>
      <c r="B188" s="204"/>
    </row>
    <row r="189" spans="1:2" ht="16.5">
      <c r="A189" s="204"/>
      <c r="B189" s="204"/>
    </row>
    <row r="190" spans="1:2" ht="16.5">
      <c r="A190" s="204"/>
      <c r="B190" s="204"/>
    </row>
    <row r="191" spans="1:2" ht="16.5">
      <c r="A191" s="204"/>
      <c r="B191" s="204"/>
    </row>
    <row r="192" spans="1:2" ht="16.5">
      <c r="A192" s="204"/>
      <c r="B192" s="204"/>
    </row>
    <row r="193" spans="1:2" ht="16.5">
      <c r="A193" s="204"/>
      <c r="B193" s="204"/>
    </row>
    <row r="194" spans="1:2" ht="16.5">
      <c r="A194" s="204"/>
      <c r="B194" s="204"/>
    </row>
    <row r="195" spans="1:2" ht="16.5">
      <c r="A195" s="204"/>
      <c r="B195" s="204"/>
    </row>
    <row r="196" spans="1:2" ht="16.5">
      <c r="A196" s="204"/>
      <c r="B196" s="204"/>
    </row>
    <row r="197" spans="1:2" ht="16.5">
      <c r="A197" s="204"/>
      <c r="B197" s="204"/>
    </row>
    <row r="198" spans="1:2" ht="16.5">
      <c r="A198" s="204"/>
      <c r="B198" s="204"/>
    </row>
    <row r="199" spans="1:2" ht="16.5">
      <c r="A199" s="204"/>
      <c r="B199" s="204"/>
    </row>
    <row r="200" spans="1:2" ht="16.5">
      <c r="A200" s="204"/>
      <c r="B200" s="204"/>
    </row>
    <row r="201" spans="1:2" ht="16.5">
      <c r="A201" s="204"/>
      <c r="B201" s="204"/>
    </row>
    <row r="202" spans="1:2" ht="16.5">
      <c r="A202" s="204"/>
      <c r="B202" s="204"/>
    </row>
    <row r="203" spans="1:2" ht="16.5">
      <c r="A203" s="204"/>
      <c r="B203" s="204"/>
    </row>
    <row r="204" spans="1:2" ht="16.5">
      <c r="A204" s="204"/>
      <c r="B204" s="204"/>
    </row>
    <row r="205" spans="1:2" ht="16.5">
      <c r="A205" s="204"/>
      <c r="B205" s="204"/>
    </row>
    <row r="206" spans="1:2" ht="16.5">
      <c r="A206" s="204"/>
      <c r="B206" s="204"/>
    </row>
    <row r="207" spans="1:2" ht="16.5">
      <c r="A207" s="204"/>
      <c r="B207" s="204"/>
    </row>
    <row r="208" spans="1:2" ht="16.5">
      <c r="A208" s="204"/>
      <c r="B208" s="204"/>
    </row>
    <row r="209" spans="1:2" ht="16.5">
      <c r="A209" s="204"/>
      <c r="B209" s="204"/>
    </row>
    <row r="210" spans="1:2" ht="16.5">
      <c r="A210" s="204"/>
      <c r="B210" s="204"/>
    </row>
    <row r="211" spans="1:2" ht="16.5">
      <c r="A211" s="204"/>
      <c r="B211" s="204"/>
    </row>
    <row r="212" spans="1:2" ht="16.5">
      <c r="A212" s="204"/>
      <c r="B212" s="204"/>
    </row>
    <row r="213" spans="1:2" ht="16.5">
      <c r="A213" s="204"/>
      <c r="B213" s="204"/>
    </row>
    <row r="214" spans="1:2" ht="16.5">
      <c r="A214" s="204"/>
      <c r="B214" s="204"/>
    </row>
    <row r="215" spans="1:2" ht="16.5">
      <c r="A215" s="204"/>
      <c r="B215" s="204"/>
    </row>
    <row r="216" spans="1:2" ht="16.5">
      <c r="A216" s="204"/>
      <c r="B216" s="204"/>
    </row>
    <row r="217" spans="1:2" ht="16.5">
      <c r="A217" s="204"/>
      <c r="B217" s="204"/>
    </row>
    <row r="218" spans="1:2" ht="16.5">
      <c r="A218" s="204"/>
      <c r="B218" s="204"/>
    </row>
    <row r="219" spans="1:2" ht="16.5">
      <c r="A219" s="204"/>
      <c r="B219" s="204"/>
    </row>
    <row r="220" spans="1:2" ht="16.5">
      <c r="A220" s="204"/>
      <c r="B220" s="204"/>
    </row>
    <row r="221" spans="1:2" ht="16.5">
      <c r="A221" s="204"/>
      <c r="B221" s="204"/>
    </row>
    <row r="222" spans="1:2" ht="16.5">
      <c r="A222" s="204"/>
      <c r="B222" s="204"/>
    </row>
    <row r="223" spans="1:2" ht="16.5">
      <c r="A223" s="204"/>
      <c r="B223" s="204"/>
    </row>
    <row r="224" spans="1:2" ht="16.5">
      <c r="A224" s="204"/>
      <c r="B224" s="204"/>
    </row>
    <row r="225" spans="1:2" ht="16.5">
      <c r="A225" s="204"/>
      <c r="B225" s="204"/>
    </row>
    <row r="226" spans="1:2" ht="16.5">
      <c r="A226" s="204"/>
      <c r="B226" s="204"/>
    </row>
    <row r="227" spans="1:2" ht="16.5">
      <c r="A227" s="204"/>
      <c r="B227" s="204"/>
    </row>
    <row r="228" spans="1:2" ht="16.5">
      <c r="A228" s="204"/>
      <c r="B228" s="204"/>
    </row>
    <row r="229" spans="1:2" ht="16.5">
      <c r="A229" s="204"/>
      <c r="B229" s="204"/>
    </row>
    <row r="230" spans="1:2" ht="16.5">
      <c r="A230" s="204"/>
      <c r="B230" s="204"/>
    </row>
    <row r="231" spans="1:2" ht="16.5">
      <c r="A231" s="204"/>
      <c r="B231" s="204"/>
    </row>
    <row r="232" spans="1:2" ht="16.5">
      <c r="A232" s="204"/>
      <c r="B232" s="204"/>
    </row>
    <row r="233" spans="1:2" ht="16.5">
      <c r="A233" s="204"/>
      <c r="B233" s="204"/>
    </row>
    <row r="234" spans="1:2" ht="16.5">
      <c r="A234" s="204"/>
      <c r="B234" s="204"/>
    </row>
    <row r="235" spans="1:2" ht="16.5">
      <c r="A235" s="204"/>
      <c r="B235" s="204"/>
    </row>
    <row r="236" spans="1:2" ht="16.5">
      <c r="A236" s="204"/>
      <c r="B236" s="204"/>
    </row>
    <row r="237" spans="1:2" ht="16.5">
      <c r="A237" s="204"/>
      <c r="B237" s="204"/>
    </row>
    <row r="238" spans="1:2" ht="16.5">
      <c r="A238" s="204"/>
      <c r="B238" s="204"/>
    </row>
    <row r="239" spans="1:2" ht="16.5">
      <c r="A239" s="204"/>
      <c r="B239" s="204"/>
    </row>
    <row r="240" spans="1:2" ht="16.5">
      <c r="A240" s="204"/>
      <c r="B240" s="204"/>
    </row>
    <row r="241" spans="1:2" ht="16.5">
      <c r="A241" s="204"/>
      <c r="B241" s="204"/>
    </row>
    <row r="242" spans="1:2" ht="16.5">
      <c r="A242" s="204"/>
      <c r="B242" s="204"/>
    </row>
    <row r="243" spans="1:2" ht="16.5">
      <c r="A243" s="204"/>
      <c r="B243" s="204"/>
    </row>
    <row r="244" spans="1:2" ht="16.5">
      <c r="A244" s="204"/>
      <c r="B244" s="204"/>
    </row>
    <row r="245" spans="1:2" ht="16.5">
      <c r="A245" s="204"/>
      <c r="B245" s="204"/>
    </row>
    <row r="246" spans="1:2" ht="16.5">
      <c r="A246" s="204"/>
      <c r="B246" s="204"/>
    </row>
    <row r="247" spans="1:2" ht="16.5">
      <c r="A247" s="204"/>
      <c r="B247" s="204"/>
    </row>
    <row r="248" spans="1:2" ht="16.5">
      <c r="A248" s="204"/>
      <c r="B248" s="204"/>
    </row>
    <row r="249" spans="1:2" ht="16.5">
      <c r="A249" s="204"/>
      <c r="B249" s="204"/>
    </row>
    <row r="250" spans="1:2" ht="16.5">
      <c r="A250" s="204"/>
      <c r="B250" s="204"/>
    </row>
    <row r="251" spans="1:2" ht="16.5">
      <c r="A251" s="204"/>
      <c r="B251" s="204"/>
    </row>
    <row r="252" spans="1:2" ht="16.5">
      <c r="A252" s="204"/>
      <c r="B252" s="204"/>
    </row>
    <row r="253" spans="1:2" ht="16.5">
      <c r="A253" s="204"/>
      <c r="B253" s="204"/>
    </row>
    <row r="254" spans="1:2" ht="16.5">
      <c r="A254" s="204"/>
      <c r="B254" s="204"/>
    </row>
    <row r="255" spans="1:2" ht="16.5">
      <c r="A255" s="204"/>
      <c r="B255" s="204"/>
    </row>
    <row r="256" spans="1:2" ht="16.5">
      <c r="A256" s="204"/>
      <c r="B256" s="204"/>
    </row>
    <row r="257" spans="1:2" ht="16.5">
      <c r="A257" s="204"/>
      <c r="B257" s="204"/>
    </row>
    <row r="258" spans="1:2" ht="16.5">
      <c r="A258" s="204"/>
      <c r="B258" s="204"/>
    </row>
    <row r="259" spans="1:2" ht="16.5">
      <c r="A259" s="204"/>
      <c r="B259" s="204"/>
    </row>
    <row r="260" spans="1:2" ht="16.5">
      <c r="A260" s="204"/>
      <c r="B260" s="204"/>
    </row>
    <row r="261" spans="1:2" ht="16.5">
      <c r="A261" s="204"/>
      <c r="B261" s="204"/>
    </row>
    <row r="262" spans="1:2" ht="16.5">
      <c r="A262" s="204"/>
      <c r="B262" s="204"/>
    </row>
    <row r="263" spans="1:2" ht="16.5">
      <c r="A263" s="204"/>
      <c r="B263" s="204"/>
    </row>
    <row r="264" spans="1:2" ht="16.5">
      <c r="A264" s="204"/>
      <c r="B264" s="204"/>
    </row>
    <row r="265" spans="1:2" ht="16.5">
      <c r="A265" s="204"/>
      <c r="B265" s="204"/>
    </row>
    <row r="266" spans="1:2" ht="16.5">
      <c r="A266" s="204"/>
      <c r="B266" s="204"/>
    </row>
    <row r="267" spans="1:2" ht="16.5">
      <c r="A267" s="204"/>
      <c r="B267" s="204"/>
    </row>
    <row r="268" spans="1:2" ht="16.5">
      <c r="A268" s="204"/>
      <c r="B268" s="204"/>
    </row>
    <row r="269" spans="1:2" ht="16.5">
      <c r="A269" s="204"/>
      <c r="B269" s="204"/>
    </row>
  </sheetData>
  <mergeCells count="4">
    <mergeCell ref="C52:E52"/>
    <mergeCell ref="C45:E45"/>
    <mergeCell ref="C46:E46"/>
    <mergeCell ref="C47:E47"/>
  </mergeCells>
  <printOptions/>
  <pageMargins left="1" right="0.25" top="0.5" bottom="0.5" header="0.25" footer="0.25"/>
  <pageSetup horizontalDpi="600" verticalDpi="600" orientation="portrait" paperSize="9" scale="85" r:id="rId1"/>
  <headerFooter alignWithMargins="0">
    <oddFooter>&amp;RTrang 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H293"/>
  <sheetViews>
    <sheetView tabSelected="1" workbookViewId="0" topLeftCell="A4">
      <pane xSplit="4" ySplit="9" topLeftCell="E25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H32" sqref="H32"/>
    </sheetView>
  </sheetViews>
  <sheetFormatPr defaultColWidth="8.796875" defaultRowHeight="15"/>
  <cols>
    <col min="1" max="1" width="3.8984375" style="0" customWidth="1"/>
    <col min="2" max="2" width="42.69921875" style="0" customWidth="1"/>
    <col min="3" max="3" width="7.69921875" style="1" customWidth="1"/>
    <col min="4" max="4" width="6.09765625" style="1" customWidth="1"/>
    <col min="5" max="5" width="13.59765625" style="108" customWidth="1"/>
    <col min="6" max="6" width="12.59765625" style="19" bestFit="1" customWidth="1"/>
    <col min="7" max="7" width="14.3984375" style="0" customWidth="1"/>
    <col min="8" max="8" width="13.69921875" style="19" customWidth="1"/>
  </cols>
  <sheetData>
    <row r="1" spans="1:7" ht="17.25">
      <c r="A1" s="19" t="s">
        <v>509</v>
      </c>
      <c r="G1" s="1" t="s">
        <v>589</v>
      </c>
    </row>
    <row r="2" spans="1:7" ht="17.25">
      <c r="A2" s="20" t="s">
        <v>512</v>
      </c>
      <c r="G2" s="1" t="s">
        <v>587</v>
      </c>
    </row>
    <row r="3" ht="17.25">
      <c r="G3" s="1" t="s">
        <v>588</v>
      </c>
    </row>
    <row r="4" spans="1:8" ht="23.25">
      <c r="A4" s="524" t="s">
        <v>310</v>
      </c>
      <c r="B4" s="524"/>
      <c r="C4" s="524"/>
      <c r="D4" s="524"/>
      <c r="E4" s="524"/>
      <c r="F4" s="524"/>
      <c r="G4" s="524"/>
      <c r="H4" s="524"/>
    </row>
    <row r="5" spans="1:8" ht="20.25" customHeight="1">
      <c r="A5" s="525" t="s">
        <v>295</v>
      </c>
      <c r="B5" s="525"/>
      <c r="C5" s="525"/>
      <c r="D5" s="525"/>
      <c r="E5" s="525"/>
      <c r="F5" s="525"/>
      <c r="G5" s="525"/>
      <c r="H5" s="525"/>
    </row>
    <row r="6" spans="1:8" ht="20.25" customHeight="1">
      <c r="A6" s="525" t="s">
        <v>548</v>
      </c>
      <c r="B6" s="525"/>
      <c r="C6" s="525"/>
      <c r="D6" s="525"/>
      <c r="E6" s="525"/>
      <c r="F6" s="525"/>
      <c r="G6" s="525"/>
      <c r="H6" s="525"/>
    </row>
    <row r="7" spans="1:8" ht="18.75" customHeight="1">
      <c r="A7" s="512" t="s">
        <v>549</v>
      </c>
      <c r="B7" s="512"/>
      <c r="C7" s="512"/>
      <c r="D7" s="512"/>
      <c r="E7" s="512"/>
      <c r="F7" s="512"/>
      <c r="G7" s="512"/>
      <c r="H7" s="512"/>
    </row>
    <row r="8" spans="1:8" ht="17.25">
      <c r="A8" s="514" t="s">
        <v>592</v>
      </c>
      <c r="B8" s="514"/>
      <c r="C8" s="514"/>
      <c r="D8" s="514"/>
      <c r="E8" s="514"/>
      <c r="F8" s="514"/>
      <c r="G8" s="514"/>
      <c r="H8" s="514"/>
    </row>
    <row r="9" ht="17.25" customHeight="1"/>
    <row r="10" spans="1:8" ht="32.25" customHeight="1">
      <c r="A10" s="513" t="s">
        <v>485</v>
      </c>
      <c r="B10" s="517" t="s">
        <v>495</v>
      </c>
      <c r="C10" s="517" t="s">
        <v>438</v>
      </c>
      <c r="D10" s="520" t="s">
        <v>591</v>
      </c>
      <c r="E10" s="522" t="s">
        <v>396</v>
      </c>
      <c r="F10" s="523"/>
      <c r="G10" s="515" t="s">
        <v>397</v>
      </c>
      <c r="H10" s="516"/>
    </row>
    <row r="11" spans="1:8" ht="17.25">
      <c r="A11" s="513"/>
      <c r="B11" s="518"/>
      <c r="C11" s="518"/>
      <c r="D11" s="521"/>
      <c r="E11" s="238" t="s">
        <v>633</v>
      </c>
      <c r="F11" s="427" t="s">
        <v>634</v>
      </c>
      <c r="G11" s="236" t="s">
        <v>633</v>
      </c>
      <c r="H11" s="435" t="s">
        <v>634</v>
      </c>
    </row>
    <row r="12" spans="1:8" s="231" customFormat="1" ht="17.25">
      <c r="A12" s="229"/>
      <c r="B12" s="230">
        <v>1</v>
      </c>
      <c r="C12" s="230">
        <v>2</v>
      </c>
      <c r="D12" s="230">
        <v>3</v>
      </c>
      <c r="E12" s="237" t="s">
        <v>317</v>
      </c>
      <c r="F12" s="428">
        <v>5</v>
      </c>
      <c r="G12" s="230">
        <v>6</v>
      </c>
      <c r="H12" s="428" t="s">
        <v>402</v>
      </c>
    </row>
    <row r="13" spans="1:8" s="5" customFormat="1" ht="14.25">
      <c r="A13" s="9">
        <v>1</v>
      </c>
      <c r="B13" s="14" t="s">
        <v>430</v>
      </c>
      <c r="C13" s="48" t="s">
        <v>496</v>
      </c>
      <c r="D13" s="96" t="s">
        <v>527</v>
      </c>
      <c r="E13" s="109">
        <v>103151786347</v>
      </c>
      <c r="F13" s="429">
        <v>57360913963</v>
      </c>
      <c r="G13" s="109">
        <v>356268083983</v>
      </c>
      <c r="H13" s="111">
        <v>223568847885</v>
      </c>
    </row>
    <row r="14" spans="1:8" s="5" customFormat="1" ht="14.25">
      <c r="A14" s="9">
        <v>2</v>
      </c>
      <c r="B14" s="9" t="s">
        <v>434</v>
      </c>
      <c r="C14" s="31" t="s">
        <v>497</v>
      </c>
      <c r="D14" s="32" t="s">
        <v>528</v>
      </c>
      <c r="E14" s="109">
        <v>245316237</v>
      </c>
      <c r="F14" s="18">
        <v>241711707</v>
      </c>
      <c r="G14" s="109">
        <v>359197757</v>
      </c>
      <c r="H14" s="111">
        <v>416949900</v>
      </c>
    </row>
    <row r="15" spans="1:8" s="5" customFormat="1" ht="14.25">
      <c r="A15" s="9">
        <v>3</v>
      </c>
      <c r="B15" s="9" t="s">
        <v>431</v>
      </c>
      <c r="C15" s="32">
        <v>10</v>
      </c>
      <c r="D15" s="32" t="s">
        <v>529</v>
      </c>
      <c r="E15" s="115">
        <f>+E13-E14</f>
        <v>102906470110</v>
      </c>
      <c r="F15" s="430">
        <f>+F13-F14</f>
        <v>57119202256</v>
      </c>
      <c r="G15" s="115">
        <f>+G13-G14</f>
        <v>355908886226</v>
      </c>
      <c r="H15" s="430">
        <f>+H13-H14</f>
        <v>223151897985</v>
      </c>
    </row>
    <row r="16" spans="1:8" s="3" customFormat="1" ht="14.25">
      <c r="A16" s="16">
        <v>4</v>
      </c>
      <c r="B16" s="9" t="s">
        <v>498</v>
      </c>
      <c r="C16" s="32">
        <v>11</v>
      </c>
      <c r="D16" s="32" t="s">
        <v>530</v>
      </c>
      <c r="E16" s="109">
        <v>75914228768</v>
      </c>
      <c r="F16" s="18">
        <v>41629060299</v>
      </c>
      <c r="G16" s="109">
        <v>267706080576</v>
      </c>
      <c r="H16" s="111">
        <v>168518339287</v>
      </c>
    </row>
    <row r="17" spans="1:8" s="5" customFormat="1" ht="14.25">
      <c r="A17" s="9">
        <v>5</v>
      </c>
      <c r="B17" s="9" t="s">
        <v>432</v>
      </c>
      <c r="C17" s="32">
        <v>20</v>
      </c>
      <c r="D17" s="32"/>
      <c r="E17" s="115">
        <f>+E15-E16</f>
        <v>26992241342</v>
      </c>
      <c r="F17" s="430">
        <f>+F15-F16</f>
        <v>15490141957</v>
      </c>
      <c r="G17" s="115">
        <f>+G15-G16</f>
        <v>88202805650</v>
      </c>
      <c r="H17" s="430">
        <f>+H15-H16</f>
        <v>54633558698</v>
      </c>
    </row>
    <row r="18" spans="1:8" s="5" customFormat="1" ht="14.25">
      <c r="A18" s="9">
        <v>6</v>
      </c>
      <c r="B18" s="9" t="s">
        <v>501</v>
      </c>
      <c r="C18" s="32">
        <v>21</v>
      </c>
      <c r="D18" s="32" t="s">
        <v>531</v>
      </c>
      <c r="E18" s="109">
        <v>584474291</v>
      </c>
      <c r="F18" s="18">
        <v>117317132</v>
      </c>
      <c r="G18" s="18">
        <v>1781977041</v>
      </c>
      <c r="H18" s="111">
        <v>328883000</v>
      </c>
    </row>
    <row r="19" spans="1:8" s="5" customFormat="1" ht="14.25">
      <c r="A19" s="9">
        <v>7</v>
      </c>
      <c r="B19" s="9" t="s">
        <v>433</v>
      </c>
      <c r="C19" s="32">
        <v>22</v>
      </c>
      <c r="D19" s="32" t="s">
        <v>532</v>
      </c>
      <c r="E19" s="109">
        <f>402430063+724519713-31717</f>
        <v>1126918059</v>
      </c>
      <c r="F19" s="18">
        <v>1365598673</v>
      </c>
      <c r="G19" s="18">
        <f>3868195667+1282479754</f>
        <v>5150675421</v>
      </c>
      <c r="H19" s="111">
        <v>4212450793</v>
      </c>
    </row>
    <row r="20" spans="1:8" s="5" customFormat="1" ht="14.25">
      <c r="A20" s="9"/>
      <c r="B20" s="16" t="s">
        <v>502</v>
      </c>
      <c r="C20" s="33">
        <v>23</v>
      </c>
      <c r="D20" s="84"/>
      <c r="E20" s="109">
        <v>402430063</v>
      </c>
      <c r="F20" s="18">
        <v>1147395014</v>
      </c>
      <c r="G20" s="18">
        <v>3868195667</v>
      </c>
      <c r="H20" s="111">
        <v>3723805268</v>
      </c>
    </row>
    <row r="21" spans="1:8" ht="17.25">
      <c r="A21" s="9">
        <v>8</v>
      </c>
      <c r="B21" s="9" t="s">
        <v>499</v>
      </c>
      <c r="C21" s="32">
        <v>24</v>
      </c>
      <c r="D21" s="97"/>
      <c r="E21" s="109">
        <v>12562495213</v>
      </c>
      <c r="F21" s="18">
        <v>3478551836</v>
      </c>
      <c r="G21" s="18">
        <v>28422799033</v>
      </c>
      <c r="H21" s="111">
        <v>14852064570</v>
      </c>
    </row>
    <row r="22" spans="1:8" ht="17.25">
      <c r="A22" s="9">
        <v>9</v>
      </c>
      <c r="B22" s="9" t="s">
        <v>500</v>
      </c>
      <c r="C22" s="32">
        <v>25</v>
      </c>
      <c r="D22" s="97"/>
      <c r="E22" s="109">
        <v>11792086203</v>
      </c>
      <c r="F22" s="18">
        <v>8184952268</v>
      </c>
      <c r="G22" s="109">
        <v>39587509379</v>
      </c>
      <c r="H22" s="111">
        <v>23800801349</v>
      </c>
    </row>
    <row r="23" spans="1:8" s="5" customFormat="1" ht="14.25">
      <c r="A23" s="9">
        <v>10</v>
      </c>
      <c r="B23" s="50" t="s">
        <v>503</v>
      </c>
      <c r="C23" s="32">
        <v>30</v>
      </c>
      <c r="D23" s="97"/>
      <c r="E23" s="115">
        <f>+E17+E18-E19-E21-E22</f>
        <v>2095216158</v>
      </c>
      <c r="F23" s="430">
        <f>+F17+F18-F19-F21-F22</f>
        <v>2578356312</v>
      </c>
      <c r="G23" s="115">
        <f>+G17+G18-G19-G21-G22</f>
        <v>16823798858</v>
      </c>
      <c r="H23" s="430">
        <f>+H17+H18-H19-H21-H22</f>
        <v>12097124986</v>
      </c>
    </row>
    <row r="24" spans="1:8" ht="17.25">
      <c r="A24" s="9">
        <v>11</v>
      </c>
      <c r="B24" s="9" t="s">
        <v>504</v>
      </c>
      <c r="C24" s="32">
        <v>31</v>
      </c>
      <c r="D24" s="32"/>
      <c r="E24" s="109">
        <v>46500000</v>
      </c>
      <c r="F24" s="18">
        <v>781818</v>
      </c>
      <c r="G24" s="109">
        <v>562934302</v>
      </c>
      <c r="H24" s="111">
        <v>5600000</v>
      </c>
    </row>
    <row r="25" spans="1:8" ht="17.25">
      <c r="A25" s="9">
        <v>12</v>
      </c>
      <c r="B25" s="9" t="s">
        <v>505</v>
      </c>
      <c r="C25" s="32">
        <v>32</v>
      </c>
      <c r="D25" s="32"/>
      <c r="E25" s="109">
        <v>31066017</v>
      </c>
      <c r="F25" s="18">
        <v>6803651</v>
      </c>
      <c r="G25" s="109">
        <v>76083018</v>
      </c>
      <c r="H25" s="111">
        <v>6803651</v>
      </c>
    </row>
    <row r="26" spans="1:8" ht="17.25">
      <c r="A26" s="9">
        <v>13</v>
      </c>
      <c r="B26" s="9" t="s">
        <v>506</v>
      </c>
      <c r="C26" s="33">
        <v>40</v>
      </c>
      <c r="D26" s="33"/>
      <c r="E26" s="116">
        <f>+E24-E25</f>
        <v>15433983</v>
      </c>
      <c r="F26" s="430">
        <f>+F24-F25</f>
        <v>-6021833</v>
      </c>
      <c r="G26" s="116">
        <f>+G24-G25</f>
        <v>486851284</v>
      </c>
      <c r="H26" s="117">
        <f>+H24-H25</f>
        <v>-1203651</v>
      </c>
    </row>
    <row r="27" spans="1:8" s="21" customFormat="1" ht="14.25">
      <c r="A27" s="87">
        <v>14</v>
      </c>
      <c r="B27" s="87" t="s">
        <v>516</v>
      </c>
      <c r="C27" s="85">
        <v>50</v>
      </c>
      <c r="D27" s="85"/>
      <c r="E27" s="117">
        <f>+E23+E26</f>
        <v>2110650141</v>
      </c>
      <c r="F27" s="430">
        <f>+F23+F26</f>
        <v>2572334479</v>
      </c>
      <c r="G27" s="117">
        <f>+G23+G26</f>
        <v>17310650142</v>
      </c>
      <c r="H27" s="117">
        <f>+H23+H26</f>
        <v>12095921335</v>
      </c>
    </row>
    <row r="28" spans="1:8" ht="17.25">
      <c r="A28" s="9">
        <v>15</v>
      </c>
      <c r="B28" s="9" t="s">
        <v>517</v>
      </c>
      <c r="C28" s="33">
        <v>51</v>
      </c>
      <c r="D28" s="33" t="s">
        <v>533</v>
      </c>
      <c r="E28" s="115">
        <v>419311122</v>
      </c>
      <c r="F28" s="430">
        <v>459957997.6</v>
      </c>
      <c r="G28" s="115">
        <v>3159794919</v>
      </c>
      <c r="H28" s="430">
        <v>2413715366.6</v>
      </c>
    </row>
    <row r="29" spans="1:8" ht="17.25">
      <c r="A29" s="9">
        <v>16</v>
      </c>
      <c r="B29" s="9" t="s">
        <v>522</v>
      </c>
      <c r="C29" s="33">
        <v>52</v>
      </c>
      <c r="D29" s="33"/>
      <c r="E29" s="110"/>
      <c r="F29" s="18"/>
      <c r="G29" s="109"/>
      <c r="H29" s="111"/>
    </row>
    <row r="30" spans="1:8" ht="17.25">
      <c r="A30" s="9">
        <v>17</v>
      </c>
      <c r="B30" s="9" t="s">
        <v>518</v>
      </c>
      <c r="C30" s="33">
        <v>60</v>
      </c>
      <c r="D30" s="33"/>
      <c r="E30" s="115">
        <f>E27-E28</f>
        <v>1691339019</v>
      </c>
      <c r="F30" s="430">
        <f>F27-F28</f>
        <v>2112376481.4</v>
      </c>
      <c r="G30" s="115">
        <f>G27-G28</f>
        <v>14150855223</v>
      </c>
      <c r="H30" s="430">
        <f>H27-H28</f>
        <v>9682205968.4</v>
      </c>
    </row>
    <row r="31" spans="1:8" s="5" customFormat="1" ht="14.25">
      <c r="A31" s="9">
        <v>18</v>
      </c>
      <c r="B31" s="9" t="s">
        <v>519</v>
      </c>
      <c r="C31" s="33">
        <v>70</v>
      </c>
      <c r="D31" s="32"/>
      <c r="E31" s="111">
        <f>+E30/(46694970000/10000)</f>
        <v>362.21010935439085</v>
      </c>
      <c r="F31" s="112">
        <f>F30/((22750000000)/10000)</f>
        <v>928.5171346813187</v>
      </c>
      <c r="G31" s="111">
        <f>G30/((46694970000)/10000)</f>
        <v>3030.488128164554</v>
      </c>
      <c r="H31" s="83">
        <v>4256</v>
      </c>
    </row>
    <row r="32" spans="1:8" s="5" customFormat="1" ht="14.25">
      <c r="A32" s="9"/>
      <c r="B32" s="9" t="s">
        <v>526</v>
      </c>
      <c r="C32" s="33"/>
      <c r="D32" s="32"/>
      <c r="E32" s="155">
        <f>4669437000/((46694970000-600000)/10000)</f>
        <v>1000</v>
      </c>
      <c r="F32" s="469">
        <f>1483920000/((22750000000-293000000)/10000)</f>
        <v>660.7828294073117</v>
      </c>
      <c r="G32" s="109">
        <v>1599</v>
      </c>
      <c r="H32" s="18">
        <f>+(1347456000+2694840000)/(22457000000/10000)</f>
        <v>1800.0160306363273</v>
      </c>
    </row>
    <row r="33" spans="1:8" ht="17.25">
      <c r="A33" s="9">
        <v>19</v>
      </c>
      <c r="B33" s="9" t="s">
        <v>520</v>
      </c>
      <c r="C33" s="29"/>
      <c r="D33" s="29"/>
      <c r="E33" s="110">
        <f>+G33-1370241899</f>
        <v>209655560</v>
      </c>
      <c r="F33" s="112">
        <f>ROUND(F28/2,0)</f>
        <v>229978999</v>
      </c>
      <c r="G33" s="110">
        <f>G28-ROUND(G28/2,0)</f>
        <v>1579897459</v>
      </c>
      <c r="H33" s="110">
        <f>H28-ROUND(H28/2,0)</f>
        <v>1206857683.6</v>
      </c>
    </row>
    <row r="34" spans="1:8" ht="17.25">
      <c r="A34" s="9">
        <v>20</v>
      </c>
      <c r="B34" s="9" t="s">
        <v>521</v>
      </c>
      <c r="C34" s="29"/>
      <c r="D34" s="29"/>
      <c r="E34" s="110">
        <f>E28-E33</f>
        <v>209655562</v>
      </c>
      <c r="F34" s="112">
        <f>F28-F33</f>
        <v>229978998.60000002</v>
      </c>
      <c r="G34" s="110">
        <f>G28-G33</f>
        <v>1579897460</v>
      </c>
      <c r="H34" s="112">
        <f>H28-H33</f>
        <v>1206857683</v>
      </c>
    </row>
    <row r="35" spans="1:8" ht="17.25">
      <c r="A35" s="51"/>
      <c r="B35" s="11"/>
      <c r="C35" s="52"/>
      <c r="D35" s="52"/>
      <c r="E35" s="113"/>
      <c r="F35" s="431"/>
      <c r="G35" s="113"/>
      <c r="H35" s="436"/>
    </row>
    <row r="36" ht="17.25">
      <c r="F36" s="432"/>
    </row>
    <row r="37" spans="1:8" ht="17.25">
      <c r="A37" s="3"/>
      <c r="C37" s="15"/>
      <c r="F37" s="511" t="s">
        <v>545</v>
      </c>
      <c r="G37" s="511"/>
      <c r="H37" s="511"/>
    </row>
    <row r="38" spans="1:8" ht="17.25">
      <c r="A38" s="3"/>
      <c r="B38" s="5" t="s">
        <v>316</v>
      </c>
      <c r="C38" s="5"/>
      <c r="F38" s="519" t="s">
        <v>692</v>
      </c>
      <c r="G38" s="519"/>
      <c r="H38" s="519"/>
    </row>
    <row r="39" spans="1:8" ht="17.25">
      <c r="A39" s="3"/>
      <c r="B39" s="6"/>
      <c r="C39" s="15"/>
      <c r="F39" s="512" t="s">
        <v>492</v>
      </c>
      <c r="G39" s="512"/>
      <c r="H39" s="512"/>
    </row>
    <row r="40" spans="1:6" ht="17.25">
      <c r="A40" s="3"/>
      <c r="B40" s="6"/>
      <c r="C40" s="15"/>
      <c r="F40" s="433"/>
    </row>
    <row r="41" spans="1:6" ht="17.25">
      <c r="A41" s="3"/>
      <c r="B41" s="6"/>
      <c r="C41" s="15"/>
      <c r="F41" s="433"/>
    </row>
    <row r="42" spans="1:6" ht="17.25">
      <c r="A42" s="3"/>
      <c r="B42" s="3"/>
      <c r="C42" s="15"/>
      <c r="F42" s="433"/>
    </row>
    <row r="43" spans="1:6" ht="17.25">
      <c r="A43" s="3"/>
      <c r="B43" s="3"/>
      <c r="C43" s="15"/>
      <c r="F43" s="433"/>
    </row>
    <row r="44" spans="1:6" ht="17.25">
      <c r="A44" s="3"/>
      <c r="B44" s="3"/>
      <c r="C44" s="15"/>
      <c r="F44" s="433"/>
    </row>
    <row r="45" spans="1:8" ht="17.25">
      <c r="A45" s="3"/>
      <c r="B45" s="5" t="s">
        <v>428</v>
      </c>
      <c r="C45" s="5"/>
      <c r="D45" s="46"/>
      <c r="E45" s="235"/>
      <c r="F45" s="426"/>
      <c r="G45" s="235" t="s">
        <v>315</v>
      </c>
      <c r="H45" s="426"/>
    </row>
    <row r="46" spans="1:6" ht="17.25">
      <c r="A46" s="8"/>
      <c r="B46" s="8"/>
      <c r="C46" s="13"/>
      <c r="D46" s="13"/>
      <c r="E46" s="114"/>
      <c r="F46" s="434"/>
    </row>
    <row r="47" spans="1:6" ht="17.25">
      <c r="A47" s="8"/>
      <c r="B47" s="8"/>
      <c r="C47" s="13"/>
      <c r="D47" s="13"/>
      <c r="E47" s="114"/>
      <c r="F47" s="434"/>
    </row>
    <row r="48" spans="1:6" ht="17.25">
      <c r="A48" s="8"/>
      <c r="B48" s="8"/>
      <c r="C48" s="13"/>
      <c r="D48" s="13"/>
      <c r="E48" s="114"/>
      <c r="F48" s="434"/>
    </row>
    <row r="49" spans="1:6" ht="17.25">
      <c r="A49" s="8"/>
      <c r="B49" s="8"/>
      <c r="C49" s="13"/>
      <c r="D49" s="13"/>
      <c r="E49" s="114"/>
      <c r="F49" s="434"/>
    </row>
    <row r="50" spans="1:6" ht="17.25">
      <c r="A50" s="8"/>
      <c r="B50" s="8"/>
      <c r="C50" s="13"/>
      <c r="D50" s="13"/>
      <c r="E50" s="114"/>
      <c r="F50" s="434"/>
    </row>
    <row r="51" spans="1:6" ht="17.25">
      <c r="A51" s="8"/>
      <c r="B51" s="8"/>
      <c r="C51" s="13"/>
      <c r="D51" s="13"/>
      <c r="E51" s="114"/>
      <c r="F51" s="434"/>
    </row>
    <row r="52" spans="3:8" s="8" customFormat="1" ht="17.25">
      <c r="C52" s="13"/>
      <c r="D52" s="13"/>
      <c r="E52" s="114"/>
      <c r="F52" s="434"/>
      <c r="H52" s="434"/>
    </row>
    <row r="53" spans="3:8" s="8" customFormat="1" ht="17.25">
      <c r="C53" s="13"/>
      <c r="D53" s="13"/>
      <c r="E53" s="114"/>
      <c r="F53" s="434"/>
      <c r="H53" s="434"/>
    </row>
    <row r="54" spans="3:8" s="8" customFormat="1" ht="17.25">
      <c r="C54" s="13"/>
      <c r="D54" s="13"/>
      <c r="E54" s="114"/>
      <c r="F54" s="434"/>
      <c r="H54" s="434"/>
    </row>
    <row r="55" spans="3:8" s="8" customFormat="1" ht="17.25">
      <c r="C55" s="13"/>
      <c r="D55" s="13"/>
      <c r="E55" s="114"/>
      <c r="F55" s="434"/>
      <c r="H55" s="434"/>
    </row>
    <row r="56" spans="3:8" s="8" customFormat="1" ht="17.25">
      <c r="C56" s="13"/>
      <c r="D56" s="13"/>
      <c r="E56" s="114"/>
      <c r="F56" s="434"/>
      <c r="H56" s="434"/>
    </row>
    <row r="57" spans="3:8" s="8" customFormat="1" ht="17.25">
      <c r="C57" s="13"/>
      <c r="D57" s="13"/>
      <c r="E57" s="114"/>
      <c r="F57" s="434"/>
      <c r="H57" s="434"/>
    </row>
    <row r="58" spans="3:8" s="8" customFormat="1" ht="17.25">
      <c r="C58" s="13"/>
      <c r="D58" s="13"/>
      <c r="E58" s="114"/>
      <c r="F58" s="434"/>
      <c r="H58" s="434"/>
    </row>
    <row r="59" spans="3:8" s="8" customFormat="1" ht="17.25">
      <c r="C59" s="13"/>
      <c r="D59" s="13"/>
      <c r="E59" s="114"/>
      <c r="F59" s="434"/>
      <c r="H59" s="434"/>
    </row>
    <row r="60" spans="3:8" s="8" customFormat="1" ht="17.25">
      <c r="C60" s="13"/>
      <c r="D60" s="13"/>
      <c r="E60" s="114"/>
      <c r="F60" s="434"/>
      <c r="H60" s="434"/>
    </row>
    <row r="61" spans="3:8" s="8" customFormat="1" ht="17.25">
      <c r="C61" s="13"/>
      <c r="D61" s="13"/>
      <c r="E61" s="114"/>
      <c r="F61" s="434"/>
      <c r="H61" s="434"/>
    </row>
    <row r="62" spans="3:8" s="8" customFormat="1" ht="17.25">
      <c r="C62" s="13"/>
      <c r="D62" s="13"/>
      <c r="E62" s="114"/>
      <c r="F62" s="434"/>
      <c r="H62" s="434"/>
    </row>
    <row r="63" spans="3:8" s="8" customFormat="1" ht="17.25">
      <c r="C63" s="13"/>
      <c r="D63" s="13"/>
      <c r="E63" s="114"/>
      <c r="F63" s="434"/>
      <c r="H63" s="434"/>
    </row>
    <row r="64" spans="3:8" s="8" customFormat="1" ht="17.25">
      <c r="C64" s="13"/>
      <c r="D64" s="13"/>
      <c r="E64" s="114"/>
      <c r="F64" s="434"/>
      <c r="H64" s="434"/>
    </row>
    <row r="65" spans="3:8" s="8" customFormat="1" ht="17.25">
      <c r="C65" s="13"/>
      <c r="D65" s="13"/>
      <c r="E65" s="114"/>
      <c r="F65" s="434"/>
      <c r="H65" s="434"/>
    </row>
    <row r="66" spans="3:8" s="8" customFormat="1" ht="17.25">
      <c r="C66" s="13"/>
      <c r="D66" s="13"/>
      <c r="E66" s="114"/>
      <c r="F66" s="434"/>
      <c r="H66" s="434"/>
    </row>
    <row r="67" spans="3:8" s="8" customFormat="1" ht="17.25">
      <c r="C67" s="13"/>
      <c r="D67" s="13"/>
      <c r="E67" s="114"/>
      <c r="F67" s="434"/>
      <c r="H67" s="434"/>
    </row>
    <row r="68" spans="3:8" s="8" customFormat="1" ht="17.25">
      <c r="C68" s="13"/>
      <c r="D68" s="13"/>
      <c r="E68" s="114"/>
      <c r="F68" s="434"/>
      <c r="H68" s="434"/>
    </row>
    <row r="69" spans="3:8" s="8" customFormat="1" ht="17.25">
      <c r="C69" s="13"/>
      <c r="D69" s="13"/>
      <c r="E69" s="114"/>
      <c r="F69" s="434"/>
      <c r="H69" s="434"/>
    </row>
    <row r="70" spans="3:8" s="8" customFormat="1" ht="17.25">
      <c r="C70" s="13"/>
      <c r="D70" s="13"/>
      <c r="E70" s="114"/>
      <c r="F70" s="434"/>
      <c r="H70" s="434"/>
    </row>
    <row r="71" spans="3:8" s="8" customFormat="1" ht="17.25">
      <c r="C71" s="13"/>
      <c r="D71" s="13"/>
      <c r="E71" s="114"/>
      <c r="F71" s="434"/>
      <c r="H71" s="434"/>
    </row>
    <row r="72" spans="3:8" s="8" customFormat="1" ht="17.25">
      <c r="C72" s="13"/>
      <c r="D72" s="13"/>
      <c r="E72" s="114"/>
      <c r="F72" s="434"/>
      <c r="H72" s="434"/>
    </row>
    <row r="73" spans="3:8" s="8" customFormat="1" ht="17.25">
      <c r="C73" s="13"/>
      <c r="D73" s="13"/>
      <c r="E73" s="114"/>
      <c r="F73" s="434"/>
      <c r="H73" s="434"/>
    </row>
    <row r="74" spans="1:6" ht="17.25">
      <c r="A74" s="8"/>
      <c r="B74" s="8"/>
      <c r="C74" s="13"/>
      <c r="D74" s="13"/>
      <c r="E74" s="114"/>
      <c r="F74" s="434"/>
    </row>
    <row r="75" spans="1:6" ht="17.25">
      <c r="A75" s="8"/>
      <c r="B75" s="8"/>
      <c r="C75" s="13"/>
      <c r="D75" s="13"/>
      <c r="E75" s="114"/>
      <c r="F75" s="434"/>
    </row>
    <row r="76" spans="1:6" ht="17.25">
      <c r="A76" s="8"/>
      <c r="B76" s="8"/>
      <c r="C76" s="13"/>
      <c r="D76" s="13"/>
      <c r="E76" s="114"/>
      <c r="F76" s="434"/>
    </row>
    <row r="77" spans="1:6" ht="17.25">
      <c r="A77" s="8"/>
      <c r="B77" s="8"/>
      <c r="C77" s="13"/>
      <c r="D77" s="13"/>
      <c r="E77" s="114"/>
      <c r="F77" s="434"/>
    </row>
    <row r="78" spans="1:6" ht="17.25">
      <c r="A78" s="8"/>
      <c r="B78" s="8"/>
      <c r="C78" s="13"/>
      <c r="D78" s="13"/>
      <c r="E78" s="114"/>
      <c r="F78" s="434"/>
    </row>
    <row r="79" spans="1:6" ht="17.25">
      <c r="A79" s="8"/>
      <c r="B79" s="8"/>
      <c r="C79" s="13"/>
      <c r="D79" s="13"/>
      <c r="E79" s="114"/>
      <c r="F79" s="434"/>
    </row>
    <row r="80" spans="1:6" ht="17.25">
      <c r="A80" s="8"/>
      <c r="B80" s="8"/>
      <c r="C80" s="13"/>
      <c r="D80" s="13"/>
      <c r="E80" s="114"/>
      <c r="F80" s="434"/>
    </row>
    <row r="81" spans="1:6" ht="17.25">
      <c r="A81" s="8"/>
      <c r="B81" s="8"/>
      <c r="C81" s="13"/>
      <c r="D81" s="13"/>
      <c r="E81" s="114"/>
      <c r="F81" s="434"/>
    </row>
    <row r="82" spans="1:6" ht="17.25">
      <c r="A82" s="8"/>
      <c r="B82" s="8"/>
      <c r="C82" s="13"/>
      <c r="D82" s="13"/>
      <c r="E82" s="114"/>
      <c r="F82" s="434"/>
    </row>
    <row r="83" spans="1:6" ht="17.25">
      <c r="A83" s="8"/>
      <c r="B83" s="8"/>
      <c r="C83" s="13"/>
      <c r="D83" s="13"/>
      <c r="E83" s="114"/>
      <c r="F83" s="434"/>
    </row>
    <row r="84" spans="1:6" ht="17.25">
      <c r="A84" s="8"/>
      <c r="B84" s="8"/>
      <c r="C84" s="13"/>
      <c r="D84" s="13"/>
      <c r="E84" s="114"/>
      <c r="F84" s="434"/>
    </row>
    <row r="85" spans="1:6" ht="17.25">
      <c r="A85" s="8"/>
      <c r="B85" s="8"/>
      <c r="C85" s="13"/>
      <c r="D85" s="13"/>
      <c r="E85" s="114"/>
      <c r="F85" s="434"/>
    </row>
    <row r="86" spans="1:6" ht="17.25">
      <c r="A86" s="8"/>
      <c r="B86" s="8"/>
      <c r="C86" s="13"/>
      <c r="D86" s="13"/>
      <c r="E86" s="114"/>
      <c r="F86" s="434"/>
    </row>
    <row r="87" spans="1:6" ht="17.25">
      <c r="A87" s="8"/>
      <c r="B87" s="8"/>
      <c r="C87" s="13"/>
      <c r="D87" s="13"/>
      <c r="E87" s="114"/>
      <c r="F87" s="434"/>
    </row>
    <row r="88" spans="1:6" ht="17.25">
      <c r="A88" s="8"/>
      <c r="B88" s="8"/>
      <c r="C88" s="13"/>
      <c r="D88" s="13"/>
      <c r="E88" s="114"/>
      <c r="F88" s="434"/>
    </row>
    <row r="89" spans="1:6" ht="17.25">
      <c r="A89" s="8"/>
      <c r="B89" s="8"/>
      <c r="C89" s="13"/>
      <c r="D89" s="13"/>
      <c r="E89" s="114"/>
      <c r="F89" s="434"/>
    </row>
    <row r="90" spans="1:6" ht="17.25">
      <c r="A90" s="8"/>
      <c r="B90" s="8"/>
      <c r="C90" s="13"/>
      <c r="D90" s="13"/>
      <c r="E90" s="114"/>
      <c r="F90" s="434"/>
    </row>
    <row r="91" spans="1:6" ht="17.25">
      <c r="A91" s="8"/>
      <c r="B91" s="8"/>
      <c r="C91" s="13"/>
      <c r="D91" s="13"/>
      <c r="E91" s="114"/>
      <c r="F91" s="434"/>
    </row>
    <row r="92" spans="1:6" ht="17.25">
      <c r="A92" s="8"/>
      <c r="B92" s="8"/>
      <c r="C92" s="13"/>
      <c r="D92" s="13"/>
      <c r="E92" s="114"/>
      <c r="F92" s="434"/>
    </row>
    <row r="93" spans="1:6" ht="17.25">
      <c r="A93" s="8"/>
      <c r="B93" s="8"/>
      <c r="C93" s="13"/>
      <c r="D93" s="13"/>
      <c r="E93" s="114"/>
      <c r="F93" s="434"/>
    </row>
    <row r="94" spans="1:6" ht="17.25">
      <c r="A94" s="8"/>
      <c r="B94" s="8"/>
      <c r="C94" s="13"/>
      <c r="D94" s="13"/>
      <c r="E94" s="114"/>
      <c r="F94" s="434"/>
    </row>
    <row r="95" spans="1:6" ht="17.25">
      <c r="A95" s="8"/>
      <c r="B95" s="8"/>
      <c r="C95" s="13"/>
      <c r="D95" s="13"/>
      <c r="E95" s="114"/>
      <c r="F95" s="434"/>
    </row>
    <row r="96" spans="1:6" ht="17.25">
      <c r="A96" s="8"/>
      <c r="B96" s="8"/>
      <c r="C96" s="13"/>
      <c r="D96" s="13"/>
      <c r="E96" s="114"/>
      <c r="F96" s="434"/>
    </row>
    <row r="97" spans="1:6" ht="17.25">
      <c r="A97" s="8"/>
      <c r="B97" s="8"/>
      <c r="C97" s="13"/>
      <c r="D97" s="13"/>
      <c r="E97" s="114"/>
      <c r="F97" s="434"/>
    </row>
    <row r="98" spans="1:6" ht="17.25">
      <c r="A98" s="8"/>
      <c r="B98" s="8"/>
      <c r="C98" s="13"/>
      <c r="D98" s="13"/>
      <c r="E98" s="114"/>
      <c r="F98" s="434"/>
    </row>
    <row r="99" spans="1:6" ht="17.25">
      <c r="A99" s="8"/>
      <c r="B99" s="8"/>
      <c r="C99" s="13"/>
      <c r="D99" s="13"/>
      <c r="E99" s="114"/>
      <c r="F99" s="434"/>
    </row>
    <row r="100" spans="1:6" ht="17.25">
      <c r="A100" s="8"/>
      <c r="B100" s="8"/>
      <c r="C100" s="13"/>
      <c r="D100" s="13"/>
      <c r="E100" s="114"/>
      <c r="F100" s="434"/>
    </row>
    <row r="101" spans="1:6" ht="17.25">
      <c r="A101" s="8"/>
      <c r="B101" s="8"/>
      <c r="C101" s="13"/>
      <c r="D101" s="13"/>
      <c r="E101" s="114"/>
      <c r="F101" s="434"/>
    </row>
    <row r="102" spans="1:6" ht="17.25">
      <c r="A102" s="8"/>
      <c r="B102" s="8"/>
      <c r="C102" s="13"/>
      <c r="D102" s="13"/>
      <c r="E102" s="114"/>
      <c r="F102" s="434"/>
    </row>
    <row r="103" spans="1:6" ht="17.25">
      <c r="A103" s="8"/>
      <c r="B103" s="8"/>
      <c r="C103" s="13"/>
      <c r="D103" s="13"/>
      <c r="E103" s="114"/>
      <c r="F103" s="434"/>
    </row>
    <row r="104" spans="1:6" ht="17.25">
      <c r="A104" s="8"/>
      <c r="B104" s="8"/>
      <c r="C104" s="13"/>
      <c r="D104" s="13"/>
      <c r="E104" s="114"/>
      <c r="F104" s="434"/>
    </row>
    <row r="105" spans="1:6" ht="17.25">
      <c r="A105" s="8"/>
      <c r="B105" s="8"/>
      <c r="C105" s="13"/>
      <c r="D105" s="13"/>
      <c r="E105" s="114"/>
      <c r="F105" s="434"/>
    </row>
    <row r="106" spans="1:6" ht="17.25">
      <c r="A106" s="8"/>
      <c r="B106" s="8"/>
      <c r="C106" s="13"/>
      <c r="D106" s="13"/>
      <c r="E106" s="114"/>
      <c r="F106" s="434"/>
    </row>
    <row r="107" spans="1:6" ht="17.25">
      <c r="A107" s="8"/>
      <c r="B107" s="8"/>
      <c r="C107" s="13"/>
      <c r="D107" s="13"/>
      <c r="E107" s="114"/>
      <c r="F107" s="434"/>
    </row>
    <row r="108" spans="1:6" ht="17.25">
      <c r="A108" s="8"/>
      <c r="B108" s="8"/>
      <c r="C108" s="13"/>
      <c r="D108" s="13"/>
      <c r="E108" s="114"/>
      <c r="F108" s="434"/>
    </row>
    <row r="109" spans="1:6" ht="17.25">
      <c r="A109" s="8"/>
      <c r="B109" s="8"/>
      <c r="C109" s="13"/>
      <c r="D109" s="13"/>
      <c r="E109" s="114"/>
      <c r="F109" s="434"/>
    </row>
    <row r="110" spans="1:6" ht="17.25">
      <c r="A110" s="8"/>
      <c r="B110" s="8"/>
      <c r="C110" s="13"/>
      <c r="D110" s="13"/>
      <c r="E110" s="114"/>
      <c r="F110" s="434"/>
    </row>
    <row r="111" spans="1:6" ht="17.25">
      <c r="A111" s="8"/>
      <c r="B111" s="8"/>
      <c r="C111" s="13"/>
      <c r="D111" s="13"/>
      <c r="E111" s="114"/>
      <c r="F111" s="434"/>
    </row>
    <row r="112" spans="1:6" ht="17.25">
      <c r="A112" s="8"/>
      <c r="B112" s="8"/>
      <c r="C112" s="13"/>
      <c r="D112" s="13"/>
      <c r="E112" s="114"/>
      <c r="F112" s="434"/>
    </row>
    <row r="113" spans="1:6" ht="17.25">
      <c r="A113" s="8"/>
      <c r="B113" s="8"/>
      <c r="C113" s="13"/>
      <c r="D113" s="13"/>
      <c r="E113" s="114"/>
      <c r="F113" s="434"/>
    </row>
    <row r="114" spans="1:6" ht="17.25">
      <c r="A114" s="8"/>
      <c r="B114" s="8"/>
      <c r="C114" s="13"/>
      <c r="D114" s="13"/>
      <c r="E114" s="114"/>
      <c r="F114" s="434"/>
    </row>
    <row r="115" spans="1:6" ht="17.25">
      <c r="A115" s="8"/>
      <c r="B115" s="8"/>
      <c r="C115" s="13"/>
      <c r="D115" s="13"/>
      <c r="E115" s="114"/>
      <c r="F115" s="434"/>
    </row>
    <row r="116" spans="1:6" ht="17.25">
      <c r="A116" s="8"/>
      <c r="B116" s="8"/>
      <c r="C116" s="13"/>
      <c r="D116" s="13"/>
      <c r="E116" s="114"/>
      <c r="F116" s="434"/>
    </row>
    <row r="117" spans="1:6" ht="17.25">
      <c r="A117" s="8"/>
      <c r="B117" s="8"/>
      <c r="C117" s="13"/>
      <c r="D117" s="13"/>
      <c r="E117" s="114"/>
      <c r="F117" s="434"/>
    </row>
    <row r="118" spans="1:6" ht="17.25">
      <c r="A118" s="8"/>
      <c r="B118" s="8"/>
      <c r="C118" s="13"/>
      <c r="D118" s="13"/>
      <c r="E118" s="114"/>
      <c r="F118" s="434"/>
    </row>
    <row r="119" spans="1:6" ht="17.25">
      <c r="A119" s="8"/>
      <c r="B119" s="8"/>
      <c r="C119" s="13"/>
      <c r="D119" s="13"/>
      <c r="E119" s="114"/>
      <c r="F119" s="434"/>
    </row>
    <row r="120" spans="1:6" ht="17.25">
      <c r="A120" s="8"/>
      <c r="B120" s="8"/>
      <c r="C120" s="13"/>
      <c r="D120" s="13"/>
      <c r="E120" s="114"/>
      <c r="F120" s="434"/>
    </row>
    <row r="121" spans="1:6" ht="17.25">
      <c r="A121" s="8"/>
      <c r="B121" s="8"/>
      <c r="C121" s="13"/>
      <c r="D121" s="13"/>
      <c r="E121" s="114"/>
      <c r="F121" s="434"/>
    </row>
    <row r="122" spans="1:6" ht="17.25">
      <c r="A122" s="8"/>
      <c r="B122" s="8"/>
      <c r="C122" s="13"/>
      <c r="D122" s="13"/>
      <c r="E122" s="114"/>
      <c r="F122" s="434"/>
    </row>
    <row r="123" spans="1:6" ht="17.25">
      <c r="A123" s="8"/>
      <c r="B123" s="8"/>
      <c r="C123" s="13"/>
      <c r="D123" s="13"/>
      <c r="E123" s="114"/>
      <c r="F123" s="434"/>
    </row>
    <row r="124" spans="1:6" ht="17.25">
      <c r="A124" s="8"/>
      <c r="B124" s="8"/>
      <c r="C124" s="13"/>
      <c r="D124" s="13"/>
      <c r="E124" s="114"/>
      <c r="F124" s="434"/>
    </row>
    <row r="125" spans="1:6" ht="17.25">
      <c r="A125" s="8"/>
      <c r="B125" s="8"/>
      <c r="C125" s="13"/>
      <c r="D125" s="13"/>
      <c r="E125" s="114"/>
      <c r="F125" s="434"/>
    </row>
    <row r="126" spans="1:6" ht="17.25">
      <c r="A126" s="8"/>
      <c r="B126" s="8"/>
      <c r="C126" s="13"/>
      <c r="D126" s="13"/>
      <c r="E126" s="114"/>
      <c r="F126" s="434"/>
    </row>
    <row r="127" spans="1:6" ht="17.25">
      <c r="A127" s="8"/>
      <c r="B127" s="8"/>
      <c r="C127" s="13"/>
      <c r="D127" s="13"/>
      <c r="E127" s="114"/>
      <c r="F127" s="434"/>
    </row>
    <row r="128" spans="1:6" ht="17.25">
      <c r="A128" s="8"/>
      <c r="B128" s="8"/>
      <c r="C128" s="13"/>
      <c r="D128" s="13"/>
      <c r="E128" s="114"/>
      <c r="F128" s="434"/>
    </row>
    <row r="129" spans="1:6" ht="17.25">
      <c r="A129" s="8"/>
      <c r="B129" s="8"/>
      <c r="C129" s="13"/>
      <c r="D129" s="13"/>
      <c r="E129" s="114"/>
      <c r="F129" s="434"/>
    </row>
    <row r="130" spans="1:6" ht="17.25">
      <c r="A130" s="8"/>
      <c r="B130" s="8"/>
      <c r="C130" s="13"/>
      <c r="D130" s="13"/>
      <c r="E130" s="114"/>
      <c r="F130" s="434"/>
    </row>
    <row r="131" spans="1:6" ht="17.25">
      <c r="A131" s="8"/>
      <c r="B131" s="8"/>
      <c r="C131" s="13"/>
      <c r="D131" s="13"/>
      <c r="E131" s="114"/>
      <c r="F131" s="434"/>
    </row>
    <row r="132" spans="1:6" ht="17.25">
      <c r="A132" s="8"/>
      <c r="B132" s="8"/>
      <c r="C132" s="13"/>
      <c r="D132" s="13"/>
      <c r="E132" s="114"/>
      <c r="F132" s="434"/>
    </row>
    <row r="133" spans="1:6" ht="17.25">
      <c r="A133" s="8"/>
      <c r="B133" s="8"/>
      <c r="C133" s="13"/>
      <c r="D133" s="13"/>
      <c r="E133" s="114"/>
      <c r="F133" s="434"/>
    </row>
    <row r="134" spans="1:6" ht="17.25">
      <c r="A134" s="8"/>
      <c r="B134" s="8"/>
      <c r="C134" s="13"/>
      <c r="D134" s="13"/>
      <c r="E134" s="114"/>
      <c r="F134" s="434"/>
    </row>
    <row r="135" spans="1:6" ht="17.25">
      <c r="A135" s="8"/>
      <c r="B135" s="8"/>
      <c r="C135" s="13"/>
      <c r="D135" s="13"/>
      <c r="E135" s="114"/>
      <c r="F135" s="434"/>
    </row>
    <row r="136" spans="1:6" ht="17.25">
      <c r="A136" s="8"/>
      <c r="B136" s="8"/>
      <c r="C136" s="13"/>
      <c r="D136" s="13"/>
      <c r="E136" s="114"/>
      <c r="F136" s="434"/>
    </row>
    <row r="137" spans="1:6" ht="17.25">
      <c r="A137" s="8"/>
      <c r="B137" s="8"/>
      <c r="C137" s="13"/>
      <c r="D137" s="13"/>
      <c r="E137" s="114"/>
      <c r="F137" s="434"/>
    </row>
    <row r="138" spans="1:6" ht="17.25">
      <c r="A138" s="8"/>
      <c r="B138" s="8"/>
      <c r="C138" s="13"/>
      <c r="D138" s="13"/>
      <c r="E138" s="114"/>
      <c r="F138" s="434"/>
    </row>
    <row r="139" spans="1:6" ht="17.25">
      <c r="A139" s="8"/>
      <c r="B139" s="8"/>
      <c r="C139" s="13"/>
      <c r="D139" s="13"/>
      <c r="E139" s="114"/>
      <c r="F139" s="434"/>
    </row>
    <row r="140" spans="1:6" ht="17.25">
      <c r="A140" s="8"/>
      <c r="B140" s="8"/>
      <c r="C140" s="13"/>
      <c r="D140" s="13"/>
      <c r="E140" s="114"/>
      <c r="F140" s="434"/>
    </row>
    <row r="141" spans="1:6" ht="17.25">
      <c r="A141" s="8"/>
      <c r="B141" s="8"/>
      <c r="C141" s="13"/>
      <c r="D141" s="13"/>
      <c r="E141" s="114"/>
      <c r="F141" s="434"/>
    </row>
    <row r="142" spans="1:6" ht="17.25">
      <c r="A142" s="8"/>
      <c r="B142" s="8"/>
      <c r="C142" s="13"/>
      <c r="D142" s="13"/>
      <c r="E142" s="114"/>
      <c r="F142" s="434"/>
    </row>
    <row r="143" spans="1:6" ht="17.25">
      <c r="A143" s="8"/>
      <c r="B143" s="8"/>
      <c r="C143" s="13"/>
      <c r="D143" s="13"/>
      <c r="E143" s="114"/>
      <c r="F143" s="434"/>
    </row>
    <row r="144" spans="1:6" ht="17.25">
      <c r="A144" s="8"/>
      <c r="B144" s="8"/>
      <c r="C144" s="13"/>
      <c r="D144" s="13"/>
      <c r="E144" s="114"/>
      <c r="F144" s="434"/>
    </row>
    <row r="145" spans="1:6" ht="17.25">
      <c r="A145" s="8"/>
      <c r="B145" s="8"/>
      <c r="C145" s="13"/>
      <c r="D145" s="13"/>
      <c r="E145" s="114"/>
      <c r="F145" s="434"/>
    </row>
    <row r="146" spans="1:6" ht="17.25">
      <c r="A146" s="8"/>
      <c r="B146" s="8"/>
      <c r="C146" s="13"/>
      <c r="D146" s="13"/>
      <c r="E146" s="114"/>
      <c r="F146" s="434"/>
    </row>
    <row r="147" spans="1:6" ht="17.25">
      <c r="A147" s="8"/>
      <c r="B147" s="8"/>
      <c r="C147" s="13"/>
      <c r="D147" s="13"/>
      <c r="E147" s="114"/>
      <c r="F147" s="434"/>
    </row>
    <row r="148" spans="1:6" ht="17.25">
      <c r="A148" s="8"/>
      <c r="B148" s="8"/>
      <c r="C148" s="13"/>
      <c r="D148" s="13"/>
      <c r="E148" s="114"/>
      <c r="F148" s="434"/>
    </row>
    <row r="149" spans="1:6" ht="17.25">
      <c r="A149" s="8"/>
      <c r="B149" s="8"/>
      <c r="C149" s="13"/>
      <c r="D149" s="13"/>
      <c r="E149" s="114"/>
      <c r="F149" s="434"/>
    </row>
    <row r="150" spans="1:6" ht="17.25">
      <c r="A150" s="8"/>
      <c r="B150" s="8"/>
      <c r="C150" s="13"/>
      <c r="D150" s="13"/>
      <c r="E150" s="114"/>
      <c r="F150" s="434"/>
    </row>
    <row r="151" spans="1:6" ht="17.25">
      <c r="A151" s="8"/>
      <c r="B151" s="8"/>
      <c r="C151" s="13"/>
      <c r="D151" s="13"/>
      <c r="E151" s="114"/>
      <c r="F151" s="434"/>
    </row>
    <row r="152" spans="1:6" ht="17.25">
      <c r="A152" s="8"/>
      <c r="B152" s="8"/>
      <c r="C152" s="13"/>
      <c r="D152" s="13"/>
      <c r="E152" s="114"/>
      <c r="F152" s="434"/>
    </row>
    <row r="153" spans="1:6" ht="17.25">
      <c r="A153" s="8"/>
      <c r="B153" s="8"/>
      <c r="C153" s="13"/>
      <c r="D153" s="13"/>
      <c r="E153" s="114"/>
      <c r="F153" s="434"/>
    </row>
    <row r="154" spans="1:6" ht="17.25">
      <c r="A154" s="8"/>
      <c r="B154" s="8"/>
      <c r="C154" s="13"/>
      <c r="D154" s="13"/>
      <c r="E154" s="114"/>
      <c r="F154" s="434"/>
    </row>
    <row r="155" spans="1:6" ht="17.25">
      <c r="A155" s="8"/>
      <c r="B155" s="8"/>
      <c r="C155" s="13"/>
      <c r="D155" s="13"/>
      <c r="E155" s="114"/>
      <c r="F155" s="434"/>
    </row>
    <row r="156" spans="1:6" ht="17.25">
      <c r="A156" s="8"/>
      <c r="B156" s="8"/>
      <c r="C156" s="13"/>
      <c r="D156" s="13"/>
      <c r="E156" s="114"/>
      <c r="F156" s="434"/>
    </row>
    <row r="157" spans="1:6" ht="17.25">
      <c r="A157" s="8"/>
      <c r="B157" s="8"/>
      <c r="C157" s="13"/>
      <c r="D157" s="13"/>
      <c r="E157" s="114"/>
      <c r="F157" s="434"/>
    </row>
    <row r="158" spans="1:6" ht="17.25">
      <c r="A158" s="8"/>
      <c r="B158" s="8"/>
      <c r="C158" s="13"/>
      <c r="D158" s="13"/>
      <c r="E158" s="114"/>
      <c r="F158" s="434"/>
    </row>
    <row r="159" spans="1:6" ht="17.25">
      <c r="A159" s="8"/>
      <c r="B159" s="8"/>
      <c r="C159" s="13"/>
      <c r="D159" s="13"/>
      <c r="E159" s="114"/>
      <c r="F159" s="434"/>
    </row>
    <row r="160" spans="1:6" ht="17.25">
      <c r="A160" s="8"/>
      <c r="B160" s="8"/>
      <c r="C160" s="13"/>
      <c r="D160" s="13"/>
      <c r="E160" s="114"/>
      <c r="F160" s="434"/>
    </row>
    <row r="161" spans="1:6" ht="17.25">
      <c r="A161" s="8"/>
      <c r="B161" s="8"/>
      <c r="C161" s="13"/>
      <c r="D161" s="13"/>
      <c r="E161" s="114"/>
      <c r="F161" s="434"/>
    </row>
    <row r="162" spans="1:6" ht="17.25">
      <c r="A162" s="8"/>
      <c r="B162" s="8"/>
      <c r="C162" s="13"/>
      <c r="D162" s="13"/>
      <c r="E162" s="114"/>
      <c r="F162" s="434"/>
    </row>
    <row r="163" spans="1:6" ht="17.25">
      <c r="A163" s="8"/>
      <c r="B163" s="8"/>
      <c r="C163" s="13"/>
      <c r="D163" s="13"/>
      <c r="E163" s="114"/>
      <c r="F163" s="434"/>
    </row>
    <row r="164" spans="1:6" ht="17.25">
      <c r="A164" s="8"/>
      <c r="B164" s="8"/>
      <c r="C164" s="13"/>
      <c r="D164" s="13"/>
      <c r="E164" s="114"/>
      <c r="F164" s="434"/>
    </row>
    <row r="165" spans="1:6" ht="17.25">
      <c r="A165" s="8"/>
      <c r="B165" s="8"/>
      <c r="C165" s="13"/>
      <c r="D165" s="13"/>
      <c r="E165" s="114"/>
      <c r="F165" s="434"/>
    </row>
    <row r="166" spans="1:6" ht="17.25">
      <c r="A166" s="8"/>
      <c r="B166" s="8"/>
      <c r="C166" s="13"/>
      <c r="D166" s="13"/>
      <c r="E166" s="114"/>
      <c r="F166" s="434"/>
    </row>
    <row r="167" spans="1:6" ht="17.25">
      <c r="A167" s="8"/>
      <c r="B167" s="8"/>
      <c r="C167" s="13"/>
      <c r="D167" s="13"/>
      <c r="E167" s="114"/>
      <c r="F167" s="434"/>
    </row>
    <row r="168" spans="1:6" ht="17.25">
      <c r="A168" s="8"/>
      <c r="B168" s="8"/>
      <c r="C168" s="13"/>
      <c r="D168" s="13"/>
      <c r="E168" s="114"/>
      <c r="F168" s="434"/>
    </row>
    <row r="169" spans="1:6" ht="17.25">
      <c r="A169" s="8"/>
      <c r="B169" s="8"/>
      <c r="C169" s="13"/>
      <c r="D169" s="13"/>
      <c r="E169" s="114"/>
      <c r="F169" s="434"/>
    </row>
    <row r="170" spans="1:6" ht="17.25">
      <c r="A170" s="8"/>
      <c r="B170" s="8"/>
      <c r="C170" s="13"/>
      <c r="D170" s="13"/>
      <c r="E170" s="114"/>
      <c r="F170" s="434"/>
    </row>
    <row r="171" spans="1:6" ht="17.25">
      <c r="A171" s="8"/>
      <c r="B171" s="8"/>
      <c r="C171" s="13"/>
      <c r="D171" s="13"/>
      <c r="E171" s="114"/>
      <c r="F171" s="434"/>
    </row>
    <row r="172" spans="1:6" ht="17.25">
      <c r="A172" s="8"/>
      <c r="B172" s="8"/>
      <c r="C172" s="13"/>
      <c r="D172" s="13"/>
      <c r="E172" s="114"/>
      <c r="F172" s="434"/>
    </row>
    <row r="173" spans="1:6" ht="17.25">
      <c r="A173" s="8"/>
      <c r="B173" s="8"/>
      <c r="C173" s="13"/>
      <c r="D173" s="13"/>
      <c r="E173" s="114"/>
      <c r="F173" s="434"/>
    </row>
    <row r="174" spans="1:6" ht="17.25">
      <c r="A174" s="8"/>
      <c r="B174" s="8"/>
      <c r="C174" s="13"/>
      <c r="D174" s="13"/>
      <c r="E174" s="114"/>
      <c r="F174" s="434"/>
    </row>
    <row r="175" spans="1:6" ht="17.25">
      <c r="A175" s="8"/>
      <c r="B175" s="8"/>
      <c r="C175" s="13"/>
      <c r="D175" s="13"/>
      <c r="E175" s="114"/>
      <c r="F175" s="434"/>
    </row>
    <row r="176" spans="1:6" ht="17.25">
      <c r="A176" s="8"/>
      <c r="B176" s="8"/>
      <c r="C176" s="13"/>
      <c r="D176" s="13"/>
      <c r="E176" s="114"/>
      <c r="F176" s="434"/>
    </row>
    <row r="177" spans="1:6" ht="17.25">
      <c r="A177" s="8"/>
      <c r="B177" s="8"/>
      <c r="C177" s="13"/>
      <c r="D177" s="13"/>
      <c r="E177" s="114"/>
      <c r="F177" s="434"/>
    </row>
    <row r="178" spans="1:6" ht="17.25">
      <c r="A178" s="8"/>
      <c r="B178" s="8"/>
      <c r="C178" s="13"/>
      <c r="D178" s="13"/>
      <c r="E178" s="114"/>
      <c r="F178" s="434"/>
    </row>
    <row r="179" spans="1:6" ht="17.25">
      <c r="A179" s="8"/>
      <c r="B179" s="8"/>
      <c r="C179" s="13"/>
      <c r="D179" s="13"/>
      <c r="E179" s="114"/>
      <c r="F179" s="434"/>
    </row>
    <row r="180" spans="1:6" ht="17.25">
      <c r="A180" s="8"/>
      <c r="B180" s="8"/>
      <c r="C180" s="13"/>
      <c r="D180" s="13"/>
      <c r="E180" s="114"/>
      <c r="F180" s="434"/>
    </row>
    <row r="181" spans="1:6" ht="17.25">
      <c r="A181" s="8"/>
      <c r="B181" s="8"/>
      <c r="C181" s="13"/>
      <c r="D181" s="13"/>
      <c r="E181" s="114"/>
      <c r="F181" s="434"/>
    </row>
    <row r="182" spans="1:6" ht="17.25">
      <c r="A182" s="8"/>
      <c r="B182" s="8"/>
      <c r="C182" s="13"/>
      <c r="D182" s="13"/>
      <c r="E182" s="114"/>
      <c r="F182" s="434"/>
    </row>
    <row r="183" spans="1:6" ht="17.25">
      <c r="A183" s="8"/>
      <c r="B183" s="8"/>
      <c r="C183" s="13"/>
      <c r="D183" s="13"/>
      <c r="E183" s="114"/>
      <c r="F183" s="434"/>
    </row>
    <row r="184" spans="1:6" ht="17.25">
      <c r="A184" s="8"/>
      <c r="B184" s="8"/>
      <c r="C184" s="13"/>
      <c r="D184" s="13"/>
      <c r="E184" s="114"/>
      <c r="F184" s="434"/>
    </row>
    <row r="185" spans="1:6" ht="17.25">
      <c r="A185" s="8"/>
      <c r="B185" s="8"/>
      <c r="C185" s="13"/>
      <c r="D185" s="13"/>
      <c r="E185" s="114"/>
      <c r="F185" s="434"/>
    </row>
    <row r="186" spans="1:6" ht="17.25">
      <c r="A186" s="8"/>
      <c r="B186" s="8"/>
      <c r="C186" s="13"/>
      <c r="D186" s="13"/>
      <c r="E186" s="114"/>
      <c r="F186" s="434"/>
    </row>
    <row r="187" spans="1:6" ht="17.25">
      <c r="A187" s="8"/>
      <c r="B187" s="8"/>
      <c r="C187" s="13"/>
      <c r="D187" s="13"/>
      <c r="E187" s="114"/>
      <c r="F187" s="434"/>
    </row>
    <row r="188" spans="1:6" ht="17.25">
      <c r="A188" s="8"/>
      <c r="B188" s="8"/>
      <c r="C188" s="13"/>
      <c r="D188" s="13"/>
      <c r="E188" s="114"/>
      <c r="F188" s="434"/>
    </row>
    <row r="189" spans="1:6" ht="17.25">
      <c r="A189" s="8"/>
      <c r="B189" s="8"/>
      <c r="C189" s="13"/>
      <c r="D189" s="13"/>
      <c r="E189" s="114"/>
      <c r="F189" s="434"/>
    </row>
    <row r="190" spans="1:6" ht="17.25">
      <c r="A190" s="8"/>
      <c r="B190" s="8"/>
      <c r="C190" s="13"/>
      <c r="D190" s="13"/>
      <c r="E190" s="114"/>
      <c r="F190" s="434"/>
    </row>
    <row r="191" spans="1:6" ht="17.25">
      <c r="A191" s="8"/>
      <c r="B191" s="8"/>
      <c r="C191" s="13"/>
      <c r="D191" s="13"/>
      <c r="E191" s="114"/>
      <c r="F191" s="434"/>
    </row>
    <row r="192" spans="1:6" ht="17.25">
      <c r="A192" s="8"/>
      <c r="B192" s="8"/>
      <c r="C192" s="13"/>
      <c r="D192" s="13"/>
      <c r="E192" s="114"/>
      <c r="F192" s="434"/>
    </row>
    <row r="193" spans="1:6" ht="17.25">
      <c r="A193" s="8"/>
      <c r="B193" s="8"/>
      <c r="C193" s="13"/>
      <c r="D193" s="13"/>
      <c r="E193" s="114"/>
      <c r="F193" s="434"/>
    </row>
    <row r="194" spans="1:6" ht="17.25">
      <c r="A194" s="8"/>
      <c r="B194" s="8"/>
      <c r="C194" s="13"/>
      <c r="D194" s="13"/>
      <c r="E194" s="114"/>
      <c r="F194" s="434"/>
    </row>
    <row r="195" spans="1:6" ht="17.25">
      <c r="A195" s="8"/>
      <c r="B195" s="8"/>
      <c r="C195" s="13"/>
      <c r="D195" s="13"/>
      <c r="E195" s="114"/>
      <c r="F195" s="434"/>
    </row>
    <row r="196" spans="1:6" ht="17.25">
      <c r="A196" s="8"/>
      <c r="B196" s="8"/>
      <c r="C196" s="13"/>
      <c r="D196" s="13"/>
      <c r="E196" s="114"/>
      <c r="F196" s="434"/>
    </row>
    <row r="197" spans="1:6" ht="17.25">
      <c r="A197" s="8"/>
      <c r="B197" s="8"/>
      <c r="C197" s="13"/>
      <c r="D197" s="13"/>
      <c r="E197" s="114"/>
      <c r="F197" s="434"/>
    </row>
    <row r="198" spans="1:6" ht="17.25">
      <c r="A198" s="8"/>
      <c r="B198" s="8"/>
      <c r="C198" s="13"/>
      <c r="D198" s="13"/>
      <c r="E198" s="114"/>
      <c r="F198" s="434"/>
    </row>
    <row r="199" spans="1:6" ht="17.25">
      <c r="A199" s="8"/>
      <c r="B199" s="8"/>
      <c r="C199" s="13"/>
      <c r="D199" s="13"/>
      <c r="E199" s="114"/>
      <c r="F199" s="434"/>
    </row>
    <row r="200" spans="1:6" ht="17.25">
      <c r="A200" s="8"/>
      <c r="B200" s="8"/>
      <c r="C200" s="13"/>
      <c r="D200" s="13"/>
      <c r="E200" s="114"/>
      <c r="F200" s="434"/>
    </row>
    <row r="201" spans="1:6" ht="17.25">
      <c r="A201" s="8"/>
      <c r="B201" s="8"/>
      <c r="C201" s="13"/>
      <c r="D201" s="13"/>
      <c r="E201" s="114"/>
      <c r="F201" s="434"/>
    </row>
    <row r="202" spans="1:6" ht="17.25">
      <c r="A202" s="8"/>
      <c r="B202" s="8"/>
      <c r="C202" s="13"/>
      <c r="D202" s="13"/>
      <c r="E202" s="114"/>
      <c r="F202" s="434"/>
    </row>
    <row r="203" spans="1:6" ht="17.25">
      <c r="A203" s="8"/>
      <c r="B203" s="8"/>
      <c r="C203" s="13"/>
      <c r="D203" s="13"/>
      <c r="E203" s="114"/>
      <c r="F203" s="434"/>
    </row>
    <row r="204" spans="1:6" ht="17.25">
      <c r="A204" s="8"/>
      <c r="B204" s="8"/>
      <c r="C204" s="13"/>
      <c r="D204" s="13"/>
      <c r="E204" s="114"/>
      <c r="F204" s="434"/>
    </row>
    <row r="205" spans="1:6" ht="17.25">
      <c r="A205" s="8"/>
      <c r="B205" s="8"/>
      <c r="C205" s="13"/>
      <c r="D205" s="13"/>
      <c r="E205" s="114"/>
      <c r="F205" s="434"/>
    </row>
    <row r="206" spans="1:6" ht="17.25">
      <c r="A206" s="8"/>
      <c r="B206" s="8"/>
      <c r="C206" s="13"/>
      <c r="D206" s="13"/>
      <c r="E206" s="114"/>
      <c r="F206" s="434"/>
    </row>
    <row r="207" spans="1:6" ht="17.25">
      <c r="A207" s="8"/>
      <c r="B207" s="8"/>
      <c r="C207" s="13"/>
      <c r="D207" s="13"/>
      <c r="E207" s="114"/>
      <c r="F207" s="434"/>
    </row>
    <row r="208" spans="1:6" ht="17.25">
      <c r="A208" s="8"/>
      <c r="B208" s="8"/>
      <c r="C208" s="13"/>
      <c r="D208" s="13"/>
      <c r="E208" s="114"/>
      <c r="F208" s="434"/>
    </row>
    <row r="209" spans="1:6" ht="17.25">
      <c r="A209" s="8"/>
      <c r="B209" s="8"/>
      <c r="C209" s="13"/>
      <c r="D209" s="13"/>
      <c r="E209" s="114"/>
      <c r="F209" s="434"/>
    </row>
    <row r="210" spans="1:6" ht="17.25">
      <c r="A210" s="8"/>
      <c r="B210" s="8"/>
      <c r="C210" s="13"/>
      <c r="D210" s="13"/>
      <c r="E210" s="114"/>
      <c r="F210" s="434"/>
    </row>
    <row r="211" spans="1:6" ht="17.25">
      <c r="A211" s="8"/>
      <c r="B211" s="8"/>
      <c r="C211" s="13"/>
      <c r="D211" s="13"/>
      <c r="E211" s="114"/>
      <c r="F211" s="434"/>
    </row>
    <row r="212" spans="1:6" ht="17.25">
      <c r="A212" s="8"/>
      <c r="B212" s="8"/>
      <c r="C212" s="13"/>
      <c r="D212" s="13"/>
      <c r="E212" s="114"/>
      <c r="F212" s="434"/>
    </row>
    <row r="213" spans="1:6" ht="17.25">
      <c r="A213" s="8"/>
      <c r="B213" s="8"/>
      <c r="C213" s="13"/>
      <c r="D213" s="13"/>
      <c r="E213" s="114"/>
      <c r="F213" s="434"/>
    </row>
    <row r="214" spans="1:6" ht="17.25">
      <c r="A214" s="8"/>
      <c r="B214" s="8"/>
      <c r="C214" s="13"/>
      <c r="D214" s="13"/>
      <c r="E214" s="114"/>
      <c r="F214" s="434"/>
    </row>
    <row r="215" spans="1:6" ht="17.25">
      <c r="A215" s="8"/>
      <c r="B215" s="8"/>
      <c r="C215" s="13"/>
      <c r="D215" s="13"/>
      <c r="E215" s="114"/>
      <c r="F215" s="434"/>
    </row>
    <row r="216" spans="1:6" ht="17.25">
      <c r="A216" s="8"/>
      <c r="B216" s="8"/>
      <c r="C216" s="13"/>
      <c r="D216" s="13"/>
      <c r="E216" s="114"/>
      <c r="F216" s="434"/>
    </row>
    <row r="217" spans="1:6" ht="17.25">
      <c r="A217" s="8"/>
      <c r="B217" s="8"/>
      <c r="C217" s="13"/>
      <c r="D217" s="13"/>
      <c r="E217" s="114"/>
      <c r="F217" s="434"/>
    </row>
    <row r="218" spans="1:6" ht="17.25">
      <c r="A218" s="8"/>
      <c r="B218" s="8"/>
      <c r="C218" s="13"/>
      <c r="D218" s="13"/>
      <c r="E218" s="114"/>
      <c r="F218" s="434"/>
    </row>
    <row r="219" spans="1:6" ht="17.25">
      <c r="A219" s="8"/>
      <c r="B219" s="8"/>
      <c r="C219" s="13"/>
      <c r="D219" s="13"/>
      <c r="E219" s="114"/>
      <c r="F219" s="434"/>
    </row>
    <row r="220" spans="1:6" ht="17.25">
      <c r="A220" s="8"/>
      <c r="B220" s="8"/>
      <c r="C220" s="13"/>
      <c r="D220" s="13"/>
      <c r="E220" s="114"/>
      <c r="F220" s="434"/>
    </row>
    <row r="221" spans="1:6" ht="17.25">
      <c r="A221" s="8"/>
      <c r="B221" s="8"/>
      <c r="C221" s="13"/>
      <c r="D221" s="13"/>
      <c r="E221" s="114"/>
      <c r="F221" s="434"/>
    </row>
    <row r="222" spans="1:6" ht="17.25">
      <c r="A222" s="8"/>
      <c r="B222" s="8"/>
      <c r="C222" s="13"/>
      <c r="D222" s="13"/>
      <c r="E222" s="114"/>
      <c r="F222" s="434"/>
    </row>
    <row r="223" spans="1:6" ht="17.25">
      <c r="A223" s="8"/>
      <c r="B223" s="8"/>
      <c r="C223" s="13"/>
      <c r="D223" s="13"/>
      <c r="E223" s="114"/>
      <c r="F223" s="434"/>
    </row>
    <row r="224" spans="1:6" ht="17.25">
      <c r="A224" s="8"/>
      <c r="B224" s="8"/>
      <c r="C224" s="13"/>
      <c r="D224" s="13"/>
      <c r="E224" s="114"/>
      <c r="F224" s="434"/>
    </row>
    <row r="225" spans="1:6" ht="17.25">
      <c r="A225" s="8"/>
      <c r="B225" s="8"/>
      <c r="C225" s="13"/>
      <c r="D225" s="13"/>
      <c r="E225" s="114"/>
      <c r="F225" s="434"/>
    </row>
    <row r="226" spans="1:6" ht="17.25">
      <c r="A226" s="8"/>
      <c r="B226" s="8"/>
      <c r="C226" s="13"/>
      <c r="D226" s="13"/>
      <c r="E226" s="114"/>
      <c r="F226" s="434"/>
    </row>
    <row r="227" spans="1:6" ht="17.25">
      <c r="A227" s="8"/>
      <c r="B227" s="8"/>
      <c r="C227" s="13"/>
      <c r="D227" s="13"/>
      <c r="E227" s="114"/>
      <c r="F227" s="434"/>
    </row>
    <row r="228" spans="1:6" ht="17.25">
      <c r="A228" s="8"/>
      <c r="B228" s="8"/>
      <c r="C228" s="13"/>
      <c r="D228" s="13"/>
      <c r="E228" s="114"/>
      <c r="F228" s="434"/>
    </row>
    <row r="229" spans="1:6" ht="17.25">
      <c r="A229" s="8"/>
      <c r="B229" s="8"/>
      <c r="C229" s="13"/>
      <c r="D229" s="13"/>
      <c r="E229" s="114"/>
      <c r="F229" s="434"/>
    </row>
    <row r="230" spans="1:6" ht="17.25">
      <c r="A230" s="8"/>
      <c r="B230" s="8"/>
      <c r="C230" s="13"/>
      <c r="D230" s="13"/>
      <c r="E230" s="114"/>
      <c r="F230" s="434"/>
    </row>
    <row r="231" spans="1:6" ht="17.25">
      <c r="A231" s="8"/>
      <c r="B231" s="8"/>
      <c r="C231" s="13"/>
      <c r="D231" s="13"/>
      <c r="E231" s="114"/>
      <c r="F231" s="434"/>
    </row>
    <row r="232" spans="1:6" ht="17.25">
      <c r="A232" s="8"/>
      <c r="B232" s="8"/>
      <c r="C232" s="13"/>
      <c r="D232" s="13"/>
      <c r="E232" s="114"/>
      <c r="F232" s="434"/>
    </row>
    <row r="233" spans="1:6" ht="17.25">
      <c r="A233" s="8"/>
      <c r="B233" s="8"/>
      <c r="C233" s="13"/>
      <c r="D233" s="13"/>
      <c r="E233" s="114"/>
      <c r="F233" s="434"/>
    </row>
    <row r="234" spans="1:6" ht="17.25">
      <c r="A234" s="8"/>
      <c r="B234" s="8"/>
      <c r="C234" s="13"/>
      <c r="D234" s="13"/>
      <c r="E234" s="114"/>
      <c r="F234" s="434"/>
    </row>
    <row r="235" spans="1:6" ht="17.25">
      <c r="A235" s="8"/>
      <c r="B235" s="8"/>
      <c r="C235" s="13"/>
      <c r="D235" s="13"/>
      <c r="E235" s="114"/>
      <c r="F235" s="434"/>
    </row>
    <row r="236" spans="1:6" ht="17.25">
      <c r="A236" s="8"/>
      <c r="B236" s="8"/>
      <c r="C236" s="13"/>
      <c r="D236" s="13"/>
      <c r="E236" s="114"/>
      <c r="F236" s="434"/>
    </row>
    <row r="237" spans="1:6" ht="17.25">
      <c r="A237" s="8"/>
      <c r="B237" s="8"/>
      <c r="C237" s="13"/>
      <c r="D237" s="13"/>
      <c r="E237" s="114"/>
      <c r="F237" s="434"/>
    </row>
    <row r="238" spans="1:6" ht="17.25">
      <c r="A238" s="8"/>
      <c r="B238" s="8"/>
      <c r="C238" s="13"/>
      <c r="D238" s="13"/>
      <c r="E238" s="114"/>
      <c r="F238" s="434"/>
    </row>
    <row r="239" spans="1:6" ht="17.25">
      <c r="A239" s="8"/>
      <c r="B239" s="8"/>
      <c r="C239" s="13"/>
      <c r="D239" s="13"/>
      <c r="E239" s="114"/>
      <c r="F239" s="434"/>
    </row>
    <row r="240" spans="1:6" ht="17.25">
      <c r="A240" s="8"/>
      <c r="B240" s="8"/>
      <c r="C240" s="13"/>
      <c r="D240" s="13"/>
      <c r="E240" s="114"/>
      <c r="F240" s="434"/>
    </row>
    <row r="241" spans="1:6" ht="17.25">
      <c r="A241" s="8"/>
      <c r="B241" s="8"/>
      <c r="C241" s="13"/>
      <c r="D241" s="13"/>
      <c r="E241" s="114"/>
      <c r="F241" s="434"/>
    </row>
    <row r="242" spans="1:6" ht="17.25">
      <c r="A242" s="8"/>
      <c r="B242" s="8"/>
      <c r="C242" s="13"/>
      <c r="D242" s="13"/>
      <c r="E242" s="114"/>
      <c r="F242" s="434"/>
    </row>
    <row r="243" spans="1:6" ht="17.25">
      <c r="A243" s="8"/>
      <c r="B243" s="8"/>
      <c r="C243" s="13"/>
      <c r="D243" s="13"/>
      <c r="E243" s="114"/>
      <c r="F243" s="434"/>
    </row>
    <row r="244" spans="1:6" ht="17.25">
      <c r="A244" s="8"/>
      <c r="B244" s="8"/>
      <c r="C244" s="13"/>
      <c r="D244" s="13"/>
      <c r="E244" s="114"/>
      <c r="F244" s="434"/>
    </row>
    <row r="245" spans="1:6" ht="17.25">
      <c r="A245" s="8"/>
      <c r="B245" s="8"/>
      <c r="C245" s="13"/>
      <c r="D245" s="13"/>
      <c r="E245" s="114"/>
      <c r="F245" s="434"/>
    </row>
    <row r="246" spans="1:6" ht="17.25">
      <c r="A246" s="8"/>
      <c r="B246" s="8"/>
      <c r="C246" s="13"/>
      <c r="D246" s="13"/>
      <c r="E246" s="114"/>
      <c r="F246" s="434"/>
    </row>
    <row r="247" spans="1:6" ht="17.25">
      <c r="A247" s="8"/>
      <c r="B247" s="8"/>
      <c r="C247" s="13"/>
      <c r="D247" s="13"/>
      <c r="E247" s="114"/>
      <c r="F247" s="434"/>
    </row>
    <row r="248" spans="1:6" ht="17.25">
      <c r="A248" s="8"/>
      <c r="B248" s="8"/>
      <c r="C248" s="13"/>
      <c r="D248" s="13"/>
      <c r="E248" s="114"/>
      <c r="F248" s="434"/>
    </row>
    <row r="249" spans="1:6" ht="17.25">
      <c r="A249" s="8"/>
      <c r="B249" s="8"/>
      <c r="C249" s="13"/>
      <c r="D249" s="13"/>
      <c r="E249" s="114"/>
      <c r="F249" s="434"/>
    </row>
    <row r="250" spans="1:6" ht="17.25">
      <c r="A250" s="8"/>
      <c r="B250" s="8"/>
      <c r="C250" s="13"/>
      <c r="D250" s="13"/>
      <c r="E250" s="114"/>
      <c r="F250" s="434"/>
    </row>
    <row r="251" spans="1:6" ht="17.25">
      <c r="A251" s="8"/>
      <c r="B251" s="8"/>
      <c r="C251" s="13"/>
      <c r="D251" s="13"/>
      <c r="E251" s="114"/>
      <c r="F251" s="434"/>
    </row>
    <row r="252" spans="1:6" ht="17.25">
      <c r="A252" s="8"/>
      <c r="B252" s="8"/>
      <c r="C252" s="13"/>
      <c r="D252" s="13"/>
      <c r="E252" s="114"/>
      <c r="F252" s="434"/>
    </row>
    <row r="253" spans="1:6" ht="17.25">
      <c r="A253" s="8"/>
      <c r="B253" s="8"/>
      <c r="C253" s="13"/>
      <c r="D253" s="13"/>
      <c r="E253" s="114"/>
      <c r="F253" s="434"/>
    </row>
    <row r="254" spans="1:6" ht="17.25">
      <c r="A254" s="8"/>
      <c r="B254" s="8"/>
      <c r="C254" s="13"/>
      <c r="D254" s="13"/>
      <c r="E254" s="114"/>
      <c r="F254" s="434"/>
    </row>
    <row r="255" spans="1:6" ht="17.25">
      <c r="A255" s="8"/>
      <c r="B255" s="8"/>
      <c r="C255" s="13"/>
      <c r="D255" s="13"/>
      <c r="E255" s="114"/>
      <c r="F255" s="434"/>
    </row>
    <row r="256" spans="1:6" ht="17.25">
      <c r="A256" s="8"/>
      <c r="B256" s="8"/>
      <c r="C256" s="13"/>
      <c r="D256" s="13"/>
      <c r="E256" s="114"/>
      <c r="F256" s="434"/>
    </row>
    <row r="257" spans="1:6" ht="17.25">
      <c r="A257" s="8"/>
      <c r="B257" s="8"/>
      <c r="C257" s="13"/>
      <c r="D257" s="13"/>
      <c r="E257" s="114"/>
      <c r="F257" s="434"/>
    </row>
    <row r="258" spans="1:6" ht="17.25">
      <c r="A258" s="8"/>
      <c r="B258" s="8"/>
      <c r="C258" s="13"/>
      <c r="D258" s="13"/>
      <c r="E258" s="114"/>
      <c r="F258" s="434"/>
    </row>
    <row r="259" spans="1:6" ht="17.25">
      <c r="A259" s="8"/>
      <c r="B259" s="8"/>
      <c r="C259" s="13"/>
      <c r="D259" s="13"/>
      <c r="E259" s="114"/>
      <c r="F259" s="434"/>
    </row>
    <row r="260" spans="1:6" ht="17.25">
      <c r="A260" s="8"/>
      <c r="B260" s="8"/>
      <c r="C260" s="13"/>
      <c r="D260" s="13"/>
      <c r="E260" s="114"/>
      <c r="F260" s="434"/>
    </row>
    <row r="261" spans="1:6" ht="17.25">
      <c r="A261" s="8"/>
      <c r="B261" s="8"/>
      <c r="C261" s="13"/>
      <c r="D261" s="13"/>
      <c r="E261" s="114"/>
      <c r="F261" s="434"/>
    </row>
    <row r="262" spans="1:6" ht="17.25">
      <c r="A262" s="8"/>
      <c r="B262" s="8"/>
      <c r="C262" s="13"/>
      <c r="D262" s="13"/>
      <c r="E262" s="114"/>
      <c r="F262" s="434"/>
    </row>
    <row r="263" spans="1:6" ht="17.25">
      <c r="A263" s="8"/>
      <c r="B263" s="8"/>
      <c r="C263" s="13"/>
      <c r="D263" s="13"/>
      <c r="E263" s="114"/>
      <c r="F263" s="434"/>
    </row>
    <row r="264" spans="1:6" ht="17.25">
      <c r="A264" s="8"/>
      <c r="B264" s="8"/>
      <c r="C264" s="13"/>
      <c r="D264" s="13"/>
      <c r="E264" s="114"/>
      <c r="F264" s="434"/>
    </row>
    <row r="265" spans="1:6" ht="17.25">
      <c r="A265" s="8"/>
      <c r="B265" s="8"/>
      <c r="C265" s="13"/>
      <c r="D265" s="13"/>
      <c r="E265" s="114"/>
      <c r="F265" s="434"/>
    </row>
    <row r="266" spans="1:6" ht="17.25">
      <c r="A266" s="8"/>
      <c r="B266" s="8"/>
      <c r="C266" s="13"/>
      <c r="D266" s="13"/>
      <c r="E266" s="114"/>
      <c r="F266" s="434"/>
    </row>
    <row r="267" spans="1:6" ht="17.25">
      <c r="A267" s="8"/>
      <c r="B267" s="8"/>
      <c r="C267" s="13"/>
      <c r="D267" s="13"/>
      <c r="E267" s="114"/>
      <c r="F267" s="434"/>
    </row>
    <row r="268" spans="1:6" ht="17.25">
      <c r="A268" s="8"/>
      <c r="B268" s="8"/>
      <c r="C268" s="13"/>
      <c r="D268" s="13"/>
      <c r="E268" s="114"/>
      <c r="F268" s="434"/>
    </row>
    <row r="269" spans="1:6" ht="17.25">
      <c r="A269" s="8"/>
      <c r="B269" s="8"/>
      <c r="C269" s="13"/>
      <c r="D269" s="13"/>
      <c r="E269" s="114"/>
      <c r="F269" s="434"/>
    </row>
    <row r="270" spans="1:6" ht="17.25">
      <c r="A270" s="8"/>
      <c r="B270" s="8"/>
      <c r="C270" s="13"/>
      <c r="D270" s="13"/>
      <c r="E270" s="114"/>
      <c r="F270" s="434"/>
    </row>
    <row r="271" spans="1:6" ht="17.25">
      <c r="A271" s="8"/>
      <c r="B271" s="8"/>
      <c r="C271" s="13"/>
      <c r="D271" s="13"/>
      <c r="E271" s="114"/>
      <c r="F271" s="434"/>
    </row>
    <row r="272" spans="1:6" ht="17.25">
      <c r="A272" s="8"/>
      <c r="B272" s="8"/>
      <c r="C272" s="13"/>
      <c r="D272" s="13"/>
      <c r="E272" s="114"/>
      <c r="F272" s="434"/>
    </row>
    <row r="273" spans="1:6" ht="17.25">
      <c r="A273" s="8"/>
      <c r="B273" s="8"/>
      <c r="C273" s="13"/>
      <c r="D273" s="13"/>
      <c r="E273" s="114"/>
      <c r="F273" s="434"/>
    </row>
    <row r="274" spans="1:6" ht="17.25">
      <c r="A274" s="8"/>
      <c r="B274" s="8"/>
      <c r="C274" s="13"/>
      <c r="D274" s="13"/>
      <c r="E274" s="114"/>
      <c r="F274" s="434"/>
    </row>
    <row r="275" spans="1:6" ht="17.25">
      <c r="A275" s="8"/>
      <c r="B275" s="8"/>
      <c r="C275" s="13"/>
      <c r="D275" s="13"/>
      <c r="E275" s="114"/>
      <c r="F275" s="434"/>
    </row>
    <row r="276" spans="1:6" ht="17.25">
      <c r="A276" s="8"/>
      <c r="B276" s="8"/>
      <c r="C276" s="13"/>
      <c r="D276" s="13"/>
      <c r="E276" s="114"/>
      <c r="F276" s="434"/>
    </row>
    <row r="277" spans="1:6" ht="17.25">
      <c r="A277" s="8"/>
      <c r="B277" s="8"/>
      <c r="C277" s="13"/>
      <c r="D277" s="13"/>
      <c r="E277" s="114"/>
      <c r="F277" s="434"/>
    </row>
    <row r="278" spans="1:6" ht="17.25">
      <c r="A278" s="8"/>
      <c r="B278" s="8"/>
      <c r="C278" s="13"/>
      <c r="D278" s="13"/>
      <c r="E278" s="114"/>
      <c r="F278" s="434"/>
    </row>
    <row r="279" spans="1:6" ht="17.25">
      <c r="A279" s="8"/>
      <c r="B279" s="8"/>
      <c r="C279" s="13"/>
      <c r="D279" s="13"/>
      <c r="E279" s="114"/>
      <c r="F279" s="434"/>
    </row>
    <row r="280" spans="1:6" ht="17.25">
      <c r="A280" s="8"/>
      <c r="B280" s="8"/>
      <c r="C280" s="13"/>
      <c r="D280" s="13"/>
      <c r="E280" s="114"/>
      <c r="F280" s="434"/>
    </row>
    <row r="281" spans="1:6" ht="17.25">
      <c r="A281" s="8"/>
      <c r="B281" s="8"/>
      <c r="C281" s="13"/>
      <c r="D281" s="13"/>
      <c r="E281" s="114"/>
      <c r="F281" s="434"/>
    </row>
    <row r="282" spans="1:6" ht="17.25">
      <c r="A282" s="8"/>
      <c r="B282" s="8"/>
      <c r="C282" s="13"/>
      <c r="D282" s="13"/>
      <c r="E282" s="114"/>
      <c r="F282" s="434"/>
    </row>
    <row r="283" spans="1:6" ht="17.25">
      <c r="A283" s="8"/>
      <c r="B283" s="8"/>
      <c r="C283" s="13"/>
      <c r="D283" s="13"/>
      <c r="E283" s="114"/>
      <c r="F283" s="434"/>
    </row>
    <row r="284" spans="1:6" ht="17.25">
      <c r="A284" s="8"/>
      <c r="B284" s="8"/>
      <c r="C284" s="13"/>
      <c r="D284" s="13"/>
      <c r="E284" s="114"/>
      <c r="F284" s="434"/>
    </row>
    <row r="285" spans="1:6" ht="17.25">
      <c r="A285" s="8"/>
      <c r="B285" s="8"/>
      <c r="C285" s="13"/>
      <c r="D285" s="13"/>
      <c r="E285" s="114"/>
      <c r="F285" s="434"/>
    </row>
    <row r="286" spans="1:6" ht="17.25">
      <c r="A286" s="8"/>
      <c r="B286" s="8"/>
      <c r="C286" s="13"/>
      <c r="D286" s="13"/>
      <c r="E286" s="114"/>
      <c r="F286" s="434"/>
    </row>
    <row r="287" spans="1:6" ht="17.25">
      <c r="A287" s="8"/>
      <c r="B287" s="8"/>
      <c r="C287" s="13"/>
      <c r="D287" s="13"/>
      <c r="E287" s="114"/>
      <c r="F287" s="434"/>
    </row>
    <row r="288" spans="1:6" ht="17.25">
      <c r="A288" s="8"/>
      <c r="B288" s="8"/>
      <c r="C288" s="13"/>
      <c r="D288" s="13"/>
      <c r="E288" s="114"/>
      <c r="F288" s="434"/>
    </row>
    <row r="289" spans="1:6" ht="17.25">
      <c r="A289" s="8"/>
      <c r="B289" s="8"/>
      <c r="C289" s="13"/>
      <c r="D289" s="13"/>
      <c r="E289" s="114"/>
      <c r="F289" s="434"/>
    </row>
    <row r="290" spans="1:6" ht="17.25">
      <c r="A290" s="8"/>
      <c r="B290" s="8"/>
      <c r="C290" s="13"/>
      <c r="D290" s="13"/>
      <c r="E290" s="114"/>
      <c r="F290" s="434"/>
    </row>
    <row r="291" spans="1:6" ht="17.25">
      <c r="A291" s="8"/>
      <c r="B291" s="8"/>
      <c r="C291" s="13"/>
      <c r="D291" s="13"/>
      <c r="E291" s="114"/>
      <c r="F291" s="434"/>
    </row>
    <row r="292" spans="1:6" ht="17.25">
      <c r="A292" s="8"/>
      <c r="B292" s="8"/>
      <c r="C292" s="13"/>
      <c r="D292" s="13"/>
      <c r="E292" s="114"/>
      <c r="F292" s="434"/>
    </row>
    <row r="293" spans="1:6" ht="17.25">
      <c r="A293" s="8"/>
      <c r="B293" s="8"/>
      <c r="C293" s="13"/>
      <c r="D293" s="13"/>
      <c r="E293" s="114"/>
      <c r="F293" s="434"/>
    </row>
  </sheetData>
  <mergeCells count="14">
    <mergeCell ref="E10:F10"/>
    <mergeCell ref="A4:H4"/>
    <mergeCell ref="A5:H5"/>
    <mergeCell ref="A6:H6"/>
    <mergeCell ref="F39:H39"/>
    <mergeCell ref="F37:H37"/>
    <mergeCell ref="A10:A11"/>
    <mergeCell ref="A7:H7"/>
    <mergeCell ref="A8:H8"/>
    <mergeCell ref="G10:H10"/>
    <mergeCell ref="B10:B11"/>
    <mergeCell ref="F38:H38"/>
    <mergeCell ref="C10:C11"/>
    <mergeCell ref="D10:D11"/>
  </mergeCells>
  <printOptions/>
  <pageMargins left="0.5" right="0" top="1.5" bottom="0.5" header="0.5" footer="0"/>
  <pageSetup horizontalDpi="600" verticalDpi="600" orientation="portrait" paperSize="9" scale="75" r:id="rId1"/>
  <headerFooter alignWithMargins="0">
    <oddFooter>&amp;CKQHÑKD QUÝ 4 NAÊM 2007
&amp;RTrang 1/1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G35"/>
  <sheetViews>
    <sheetView zoomScale="75" zoomScaleNormal="75" workbookViewId="0" topLeftCell="A1">
      <selection activeCell="G10" sqref="G10"/>
    </sheetView>
  </sheetViews>
  <sheetFormatPr defaultColWidth="8.796875" defaultRowHeight="15"/>
  <cols>
    <col min="1" max="1" width="6" style="393" customWidth="1"/>
    <col min="2" max="2" width="40" style="234" customWidth="1"/>
    <col min="3" max="3" width="7.69921875" style="234" customWidth="1"/>
    <col min="4" max="4" width="7.3984375" style="234" customWidth="1"/>
    <col min="5" max="5" width="21.59765625" style="234" customWidth="1"/>
    <col min="6" max="6" width="21.09765625" style="349" customWidth="1"/>
    <col min="7" max="7" width="15.3984375" style="233" customWidth="1"/>
    <col min="8" max="8" width="15.09765625" style="234" bestFit="1" customWidth="1"/>
    <col min="9" max="9" width="15" style="234" bestFit="1" customWidth="1"/>
    <col min="10" max="16384" width="9" style="234" customWidth="1"/>
  </cols>
  <sheetData>
    <row r="1" spans="1:7" s="41" customFormat="1" ht="17.25">
      <c r="A1" s="100"/>
      <c r="E1" s="101"/>
      <c r="F1" s="101"/>
      <c r="G1" s="105"/>
    </row>
    <row r="2" spans="1:7" s="41" customFormat="1" ht="17.25">
      <c r="A2" s="100"/>
      <c r="E2" s="101"/>
      <c r="F2" s="101"/>
      <c r="G2" s="105"/>
    </row>
    <row r="3" spans="1:6" ht="17.25">
      <c r="A3" s="526" t="s">
        <v>484</v>
      </c>
      <c r="B3" s="526"/>
      <c r="C3" s="526"/>
      <c r="D3" s="526"/>
      <c r="E3" s="526"/>
      <c r="F3" s="526"/>
    </row>
    <row r="5" spans="1:6" ht="17.25" customHeight="1">
      <c r="A5" s="496" t="s">
        <v>485</v>
      </c>
      <c r="B5" s="496" t="s">
        <v>486</v>
      </c>
      <c r="C5" s="496"/>
      <c r="D5" s="499" t="s">
        <v>591</v>
      </c>
      <c r="E5" s="497" t="s">
        <v>487</v>
      </c>
      <c r="F5" s="497" t="s">
        <v>439</v>
      </c>
    </row>
    <row r="6" spans="1:6" ht="17.25">
      <c r="A6" s="496"/>
      <c r="B6" s="496"/>
      <c r="C6" s="496"/>
      <c r="D6" s="499"/>
      <c r="E6" s="497"/>
      <c r="F6" s="497"/>
    </row>
    <row r="7" spans="1:6" ht="17.25">
      <c r="A7" s="404"/>
      <c r="B7" s="405"/>
      <c r="C7" s="405"/>
      <c r="D7" s="406"/>
      <c r="E7" s="407"/>
      <c r="F7" s="407"/>
    </row>
    <row r="8" spans="1:6" ht="17.25">
      <c r="A8" s="408">
        <v>1</v>
      </c>
      <c r="B8" s="91" t="s">
        <v>488</v>
      </c>
      <c r="C8" s="409"/>
      <c r="D8" s="410">
        <v>24</v>
      </c>
      <c r="E8" s="411"/>
      <c r="F8" s="411"/>
    </row>
    <row r="9" spans="1:6" ht="17.25">
      <c r="A9" s="408">
        <v>2</v>
      </c>
      <c r="B9" s="91" t="s">
        <v>169</v>
      </c>
      <c r="C9" s="409"/>
      <c r="D9" s="409"/>
      <c r="E9" s="411">
        <v>58699965186</v>
      </c>
      <c r="F9" s="411">
        <f>8268838.09*16000</f>
        <v>132301409440</v>
      </c>
    </row>
    <row r="10" spans="1:6" ht="17.25">
      <c r="A10" s="408">
        <v>3</v>
      </c>
      <c r="B10" s="91" t="s">
        <v>489</v>
      </c>
      <c r="C10" s="409"/>
      <c r="D10" s="409"/>
      <c r="E10" s="412"/>
      <c r="F10" s="411"/>
    </row>
    <row r="11" spans="1:6" ht="17.25">
      <c r="A11" s="408">
        <v>4</v>
      </c>
      <c r="B11" s="91" t="s">
        <v>490</v>
      </c>
      <c r="C11" s="409"/>
      <c r="D11" s="409"/>
      <c r="E11" s="412"/>
      <c r="F11" s="411"/>
    </row>
    <row r="12" spans="1:6" ht="17.25">
      <c r="A12" s="408">
        <v>5</v>
      </c>
      <c r="B12" s="91" t="s">
        <v>491</v>
      </c>
      <c r="C12" s="409"/>
      <c r="D12" s="409"/>
      <c r="E12" s="412"/>
      <c r="F12" s="411"/>
    </row>
    <row r="13" spans="1:6" ht="17.25">
      <c r="A13" s="413">
        <v>6</v>
      </c>
      <c r="B13" s="414" t="s">
        <v>575</v>
      </c>
      <c r="C13" s="401"/>
      <c r="D13" s="401"/>
      <c r="E13" s="415"/>
      <c r="F13" s="403"/>
    </row>
    <row r="14" spans="1:6" ht="17.25">
      <c r="A14" s="394"/>
      <c r="B14" s="400"/>
      <c r="C14" s="395"/>
      <c r="D14" s="400"/>
      <c r="E14" s="396"/>
      <c r="F14" s="402"/>
    </row>
    <row r="15" spans="1:6" ht="17.25">
      <c r="A15" s="397"/>
      <c r="B15" s="401"/>
      <c r="C15" s="398"/>
      <c r="D15" s="401"/>
      <c r="E15" s="399"/>
      <c r="F15" s="403"/>
    </row>
    <row r="17" spans="1:7" s="24" customFormat="1" ht="17.25" customHeight="1">
      <c r="A17" s="37"/>
      <c r="D17" s="527" t="s">
        <v>545</v>
      </c>
      <c r="E17" s="527"/>
      <c r="F17" s="527"/>
      <c r="G17" s="106"/>
    </row>
    <row r="18" spans="1:7" s="24" customFormat="1" ht="16.5">
      <c r="A18" s="390" t="s">
        <v>313</v>
      </c>
      <c r="C18" s="391"/>
      <c r="D18" s="389"/>
      <c r="E18" s="528" t="s">
        <v>304</v>
      </c>
      <c r="F18" s="528"/>
      <c r="G18" s="106"/>
    </row>
    <row r="19" spans="1:7" s="24" customFormat="1" ht="16.5">
      <c r="A19" s="390"/>
      <c r="C19" s="392"/>
      <c r="E19" s="498"/>
      <c r="F19" s="498"/>
      <c r="G19" s="106"/>
    </row>
    <row r="20" spans="1:7" s="24" customFormat="1" ht="16.5">
      <c r="A20" s="36"/>
      <c r="F20" s="340"/>
      <c r="G20" s="106"/>
    </row>
    <row r="21" spans="1:7" s="24" customFormat="1" ht="16.5">
      <c r="A21" s="36"/>
      <c r="F21" s="340"/>
      <c r="G21" s="106"/>
    </row>
    <row r="22" spans="1:7" s="24" customFormat="1" ht="16.5">
      <c r="A22" s="36"/>
      <c r="F22" s="340"/>
      <c r="G22" s="106"/>
    </row>
    <row r="23" spans="1:7" s="24" customFormat="1" ht="16.5">
      <c r="A23" s="36"/>
      <c r="F23" s="340"/>
      <c r="G23" s="106"/>
    </row>
    <row r="24" spans="1:7" s="24" customFormat="1" ht="16.5">
      <c r="A24" s="36"/>
      <c r="F24" s="340"/>
      <c r="G24" s="106"/>
    </row>
    <row r="25" spans="1:7" s="24" customFormat="1" ht="16.5">
      <c r="A25" s="36" t="s">
        <v>632</v>
      </c>
      <c r="F25" s="340"/>
      <c r="G25" s="106"/>
    </row>
    <row r="26" spans="1:7" s="391" customFormat="1" ht="17.25" customHeight="1">
      <c r="A26" s="119" t="s">
        <v>429</v>
      </c>
      <c r="E26" s="509" t="s">
        <v>306</v>
      </c>
      <c r="F26" s="509"/>
      <c r="G26" s="208"/>
    </row>
    <row r="27" spans="1:7" s="24" customFormat="1" ht="16.5">
      <c r="A27" s="37"/>
      <c r="F27" s="340"/>
      <c r="G27" s="106"/>
    </row>
    <row r="28" spans="1:7" s="24" customFormat="1" ht="16.5">
      <c r="A28" s="37"/>
      <c r="F28" s="340"/>
      <c r="G28" s="106"/>
    </row>
    <row r="29" spans="1:7" s="24" customFormat="1" ht="16.5">
      <c r="A29" s="37"/>
      <c r="F29" s="340"/>
      <c r="G29" s="106"/>
    </row>
    <row r="30" spans="1:7" s="24" customFormat="1" ht="16.5">
      <c r="A30" s="37"/>
      <c r="F30" s="340"/>
      <c r="G30" s="106"/>
    </row>
    <row r="31" spans="1:7" s="24" customFormat="1" ht="16.5">
      <c r="A31" s="37"/>
      <c r="F31" s="340"/>
      <c r="G31" s="106"/>
    </row>
    <row r="32" spans="1:7" s="24" customFormat="1" ht="16.5">
      <c r="A32" s="37"/>
      <c r="F32" s="340"/>
      <c r="G32" s="106"/>
    </row>
    <row r="33" spans="1:7" s="24" customFormat="1" ht="16.5">
      <c r="A33" s="37"/>
      <c r="F33" s="340"/>
      <c r="G33" s="106"/>
    </row>
    <row r="34" spans="1:7" s="24" customFormat="1" ht="16.5">
      <c r="A34" s="37"/>
      <c r="F34" s="340"/>
      <c r="G34" s="106"/>
    </row>
    <row r="35" spans="1:7" s="24" customFormat="1" ht="16.5">
      <c r="A35" s="37"/>
      <c r="F35" s="340"/>
      <c r="G35" s="106"/>
    </row>
  </sheetData>
  <mergeCells count="10">
    <mergeCell ref="E26:F26"/>
    <mergeCell ref="E19:F19"/>
    <mergeCell ref="F5:F6"/>
    <mergeCell ref="D5:D6"/>
    <mergeCell ref="A3:F3"/>
    <mergeCell ref="D17:F17"/>
    <mergeCell ref="E18:F18"/>
    <mergeCell ref="A5:A6"/>
    <mergeCell ref="B5:C6"/>
    <mergeCell ref="E5:E6"/>
  </mergeCells>
  <printOptions/>
  <pageMargins left="0.75" right="0" top="0.5" bottom="0.75" header="0.25" footer="0.25"/>
  <pageSetup horizontalDpi="600" verticalDpi="600" orientation="portrait" paperSize="9" scale="80" r:id="rId1"/>
  <headerFooter alignWithMargins="0">
    <oddFooter>&amp;C&amp;8BAÛNG CAÂN ÑOÁI KEÁ TOAÙN  QUYÙ 4 NAÊM 2007
&amp;RTrang 3/3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120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G24" sqref="G24"/>
    </sheetView>
  </sheetViews>
  <sheetFormatPr defaultColWidth="8.796875" defaultRowHeight="15"/>
  <cols>
    <col min="1" max="1" width="6" style="100" customWidth="1"/>
    <col min="2" max="2" width="40" style="41" customWidth="1"/>
    <col min="3" max="3" width="7.69921875" style="41" customWidth="1"/>
    <col min="4" max="4" width="7.3984375" style="41" customWidth="1"/>
    <col min="5" max="5" width="21.59765625" style="41" customWidth="1"/>
    <col min="6" max="6" width="21.09765625" style="101" customWidth="1"/>
    <col min="7" max="7" width="6" style="359" customWidth="1"/>
    <col min="8" max="8" width="15.09765625" style="234" bestFit="1" customWidth="1"/>
    <col min="9" max="9" width="15.09765625" style="342" bestFit="1" customWidth="1"/>
    <col min="10" max="16384" width="9" style="41" customWidth="1"/>
  </cols>
  <sheetData>
    <row r="1" spans="1:8" ht="17.25">
      <c r="A1" s="45" t="s">
        <v>509</v>
      </c>
      <c r="D1" s="487" t="s">
        <v>589</v>
      </c>
      <c r="E1" s="487"/>
      <c r="F1" s="487"/>
      <c r="H1" s="41"/>
    </row>
    <row r="2" spans="1:8" ht="17.25">
      <c r="A2" s="36" t="s">
        <v>512</v>
      </c>
      <c r="D2" s="487" t="s">
        <v>587</v>
      </c>
      <c r="E2" s="487"/>
      <c r="F2" s="487"/>
      <c r="H2" s="41"/>
    </row>
    <row r="3" spans="4:8" ht="17.25">
      <c r="D3" s="487" t="s">
        <v>588</v>
      </c>
      <c r="E3" s="487"/>
      <c r="F3" s="487"/>
      <c r="H3" s="41"/>
    </row>
    <row r="4" spans="5:8" ht="6" customHeight="1">
      <c r="E4" s="82"/>
      <c r="F4" s="82"/>
      <c r="H4" s="41"/>
    </row>
    <row r="5" spans="1:8" ht="21">
      <c r="A5" s="507" t="s">
        <v>294</v>
      </c>
      <c r="B5" s="507"/>
      <c r="C5" s="507"/>
      <c r="D5" s="507"/>
      <c r="E5" s="507"/>
      <c r="F5" s="507"/>
      <c r="H5" s="41"/>
    </row>
    <row r="6" spans="1:8" ht="17.25">
      <c r="A6" s="509" t="s">
        <v>295</v>
      </c>
      <c r="B6" s="509"/>
      <c r="C6" s="509"/>
      <c r="D6" s="509"/>
      <c r="E6" s="509"/>
      <c r="F6" s="509"/>
      <c r="H6" s="41"/>
    </row>
    <row r="7" spans="1:8" ht="17.25">
      <c r="A7" s="509" t="s">
        <v>546</v>
      </c>
      <c r="B7" s="509"/>
      <c r="C7" s="509"/>
      <c r="D7" s="509"/>
      <c r="E7" s="509"/>
      <c r="F7" s="509"/>
      <c r="H7" s="41"/>
    </row>
    <row r="8" spans="1:8" ht="17.25">
      <c r="A8" s="500" t="s">
        <v>547</v>
      </c>
      <c r="B8" s="500"/>
      <c r="C8" s="500"/>
      <c r="D8" s="500"/>
      <c r="E8" s="500"/>
      <c r="F8" s="500"/>
      <c r="H8" s="41"/>
    </row>
    <row r="9" spans="1:8" ht="17.25">
      <c r="A9" s="38"/>
      <c r="B9" s="23"/>
      <c r="C9" s="25"/>
      <c r="D9" s="25"/>
      <c r="E9" s="25"/>
      <c r="F9" s="25" t="s">
        <v>592</v>
      </c>
      <c r="H9" s="41"/>
    </row>
    <row r="10" ht="6.75" customHeight="1"/>
    <row r="11" spans="1:9" s="24" customFormat="1" ht="17.25">
      <c r="A11" s="486" t="s">
        <v>436</v>
      </c>
      <c r="B11" s="502" t="s">
        <v>437</v>
      </c>
      <c r="C11" s="502" t="s">
        <v>438</v>
      </c>
      <c r="D11" s="499" t="s">
        <v>591</v>
      </c>
      <c r="E11" s="502" t="s">
        <v>508</v>
      </c>
      <c r="F11" s="502" t="s">
        <v>439</v>
      </c>
      <c r="G11" s="208"/>
      <c r="H11" s="41"/>
      <c r="I11" s="346"/>
    </row>
    <row r="12" spans="1:9" s="24" customFormat="1" ht="17.25">
      <c r="A12" s="486"/>
      <c r="B12" s="502"/>
      <c r="C12" s="502"/>
      <c r="D12" s="499"/>
      <c r="E12" s="502"/>
      <c r="F12" s="502"/>
      <c r="G12" s="208"/>
      <c r="H12" s="41"/>
      <c r="I12" s="346"/>
    </row>
    <row r="13" spans="1:8" ht="17.25">
      <c r="A13" s="326">
        <v>1</v>
      </c>
      <c r="B13" s="326">
        <v>2</v>
      </c>
      <c r="C13" s="327">
        <v>3</v>
      </c>
      <c r="D13" s="327"/>
      <c r="E13" s="327">
        <v>4</v>
      </c>
      <c r="F13" s="327">
        <v>5</v>
      </c>
      <c r="H13" s="41"/>
    </row>
    <row r="14" spans="1:9" s="21" customFormat="1" ht="18.75" customHeight="1">
      <c r="A14" s="39" t="s">
        <v>440</v>
      </c>
      <c r="B14" s="40" t="s">
        <v>441</v>
      </c>
      <c r="C14" s="42">
        <v>100</v>
      </c>
      <c r="D14" s="42"/>
      <c r="E14" s="43">
        <v>61573543523</v>
      </c>
      <c r="F14" s="43">
        <f>+F15+F18+F21+F28+F31</f>
        <v>114187782710</v>
      </c>
      <c r="G14" s="107"/>
      <c r="H14" s="351"/>
      <c r="I14" s="27"/>
    </row>
    <row r="15" spans="1:9" s="34" customFormat="1" ht="17.25">
      <c r="A15" s="56" t="s">
        <v>442</v>
      </c>
      <c r="B15" s="57" t="s">
        <v>443</v>
      </c>
      <c r="C15" s="58">
        <v>110</v>
      </c>
      <c r="D15" s="58"/>
      <c r="E15" s="59">
        <v>6825564352</v>
      </c>
      <c r="F15" s="59">
        <f>+F16+F17</f>
        <v>39647720150</v>
      </c>
      <c r="G15" s="107"/>
      <c r="H15" s="351"/>
      <c r="I15" s="418"/>
    </row>
    <row r="16" spans="1:9" ht="17.25">
      <c r="A16" s="60">
        <v>1</v>
      </c>
      <c r="B16" s="61" t="s">
        <v>443</v>
      </c>
      <c r="C16" s="62">
        <v>111</v>
      </c>
      <c r="D16" s="62" t="s">
        <v>534</v>
      </c>
      <c r="E16" s="28">
        <v>6825564352</v>
      </c>
      <c r="F16" s="28">
        <v>39647720150</v>
      </c>
      <c r="I16" s="344"/>
    </row>
    <row r="17" spans="1:6" ht="17.25">
      <c r="A17" s="60">
        <v>2</v>
      </c>
      <c r="B17" s="61" t="s">
        <v>590</v>
      </c>
      <c r="C17" s="62">
        <v>112</v>
      </c>
      <c r="D17" s="62"/>
      <c r="E17" s="28"/>
      <c r="F17" s="28">
        <v>0</v>
      </c>
    </row>
    <row r="18" spans="1:9" s="34" customFormat="1" ht="17.25">
      <c r="A18" s="56" t="s">
        <v>444</v>
      </c>
      <c r="B18" s="57" t="s">
        <v>445</v>
      </c>
      <c r="C18" s="58">
        <v>120</v>
      </c>
      <c r="D18" s="58" t="s">
        <v>535</v>
      </c>
      <c r="E18" s="59">
        <v>20000000</v>
      </c>
      <c r="F18" s="59">
        <f>+F19+F20</f>
        <v>20000000</v>
      </c>
      <c r="G18" s="107"/>
      <c r="H18" s="351"/>
      <c r="I18" s="418"/>
    </row>
    <row r="19" spans="1:9" ht="17.25">
      <c r="A19" s="60">
        <v>1</v>
      </c>
      <c r="B19" s="61" t="s">
        <v>446</v>
      </c>
      <c r="C19" s="62">
        <v>121</v>
      </c>
      <c r="D19" s="62"/>
      <c r="E19" s="28">
        <v>20000000</v>
      </c>
      <c r="F19" s="28">
        <v>20000000</v>
      </c>
      <c r="I19" s="344"/>
    </row>
    <row r="20" spans="1:6" ht="17.25">
      <c r="A20" s="60">
        <v>2</v>
      </c>
      <c r="B20" s="61" t="s">
        <v>601</v>
      </c>
      <c r="C20" s="62">
        <v>129</v>
      </c>
      <c r="D20" s="62"/>
      <c r="E20" s="28"/>
      <c r="F20" s="28"/>
    </row>
    <row r="21" spans="1:9" s="34" customFormat="1" ht="17.25">
      <c r="A21" s="56" t="s">
        <v>447</v>
      </c>
      <c r="B21" s="57" t="s">
        <v>448</v>
      </c>
      <c r="C21" s="58">
        <v>130</v>
      </c>
      <c r="D21" s="58"/>
      <c r="E21" s="59">
        <v>20097588781</v>
      </c>
      <c r="F21" s="59">
        <f>SUM(F22:F27)</f>
        <v>36275027326</v>
      </c>
      <c r="G21" s="107"/>
      <c r="H21" s="351"/>
      <c r="I21" s="418"/>
    </row>
    <row r="22" spans="1:9" ht="17.25">
      <c r="A22" s="60">
        <v>1</v>
      </c>
      <c r="B22" s="61" t="s">
        <v>449</v>
      </c>
      <c r="C22" s="62">
        <v>131</v>
      </c>
      <c r="D22" s="62"/>
      <c r="E22" s="28">
        <v>19247949225</v>
      </c>
      <c r="F22" s="28">
        <f>33817700407-F38</f>
        <v>33771936346</v>
      </c>
      <c r="G22" s="360"/>
      <c r="H22" s="349"/>
      <c r="I22" s="344"/>
    </row>
    <row r="23" spans="1:7" ht="17.25">
      <c r="A23" s="60">
        <v>2</v>
      </c>
      <c r="B23" s="61" t="s">
        <v>450</v>
      </c>
      <c r="C23" s="62">
        <v>132</v>
      </c>
      <c r="D23" s="62"/>
      <c r="E23" s="28">
        <v>558744056</v>
      </c>
      <c r="F23" s="28">
        <f>10385700636-8011052514</f>
        <v>2374648122</v>
      </c>
      <c r="G23" s="360"/>
    </row>
    <row r="24" spans="1:6" ht="17.25">
      <c r="A24" s="60">
        <v>3</v>
      </c>
      <c r="B24" s="61" t="s">
        <v>451</v>
      </c>
      <c r="C24" s="62">
        <v>133</v>
      </c>
      <c r="D24" s="62"/>
      <c r="E24" s="28"/>
      <c r="F24" s="28"/>
    </row>
    <row r="25" spans="1:6" ht="17.25">
      <c r="A25" s="60">
        <v>4</v>
      </c>
      <c r="B25" s="61" t="s">
        <v>593</v>
      </c>
      <c r="C25" s="62">
        <v>134</v>
      </c>
      <c r="D25" s="62"/>
      <c r="E25" s="28"/>
      <c r="F25" s="28"/>
    </row>
    <row r="26" spans="1:9" ht="17.25">
      <c r="A26" s="60">
        <v>5</v>
      </c>
      <c r="B26" s="61" t="s">
        <v>452</v>
      </c>
      <c r="C26" s="62">
        <v>135</v>
      </c>
      <c r="D26" s="62" t="s">
        <v>536</v>
      </c>
      <c r="E26" s="28">
        <v>290895500</v>
      </c>
      <c r="F26" s="28">
        <v>128442858</v>
      </c>
      <c r="G26" s="360"/>
      <c r="H26" s="349"/>
      <c r="I26" s="421"/>
    </row>
    <row r="27" spans="1:6" ht="17.25">
      <c r="A27" s="60">
        <v>6</v>
      </c>
      <c r="B27" s="61" t="s">
        <v>602</v>
      </c>
      <c r="C27" s="62">
        <v>139</v>
      </c>
      <c r="D27" s="62"/>
      <c r="E27" s="28"/>
      <c r="F27" s="28"/>
    </row>
    <row r="28" spans="1:9" s="34" customFormat="1" ht="17.25">
      <c r="A28" s="56" t="s">
        <v>453</v>
      </c>
      <c r="B28" s="57" t="s">
        <v>454</v>
      </c>
      <c r="C28" s="58">
        <v>140</v>
      </c>
      <c r="D28" s="58"/>
      <c r="E28" s="59">
        <v>26875315102</v>
      </c>
      <c r="F28" s="59">
        <f>SUM(F29:F30)</f>
        <v>28387193227</v>
      </c>
      <c r="G28" s="107"/>
      <c r="H28" s="351"/>
      <c r="I28" s="418"/>
    </row>
    <row r="29" spans="1:6" ht="17.25">
      <c r="A29" s="60">
        <v>1</v>
      </c>
      <c r="B29" s="61" t="s">
        <v>454</v>
      </c>
      <c r="C29" s="62">
        <v>141</v>
      </c>
      <c r="D29" s="58" t="s">
        <v>537</v>
      </c>
      <c r="E29" s="28">
        <v>26875315102</v>
      </c>
      <c r="F29" s="437">
        <v>28387193227</v>
      </c>
    </row>
    <row r="30" spans="1:6" ht="17.25">
      <c r="A30" s="60">
        <v>2</v>
      </c>
      <c r="B30" s="61" t="s">
        <v>603</v>
      </c>
      <c r="C30" s="62">
        <v>149</v>
      </c>
      <c r="D30" s="62"/>
      <c r="E30" s="28"/>
      <c r="F30" s="28"/>
    </row>
    <row r="31" spans="1:9" s="34" customFormat="1" ht="17.25">
      <c r="A31" s="56" t="s">
        <v>455</v>
      </c>
      <c r="B31" s="57" t="s">
        <v>594</v>
      </c>
      <c r="C31" s="58">
        <v>150</v>
      </c>
      <c r="D31" s="58"/>
      <c r="E31" s="59">
        <v>7755075288</v>
      </c>
      <c r="F31" s="59">
        <f>SUM(F32:F35)</f>
        <v>9857842007</v>
      </c>
      <c r="G31" s="107"/>
      <c r="H31" s="351"/>
      <c r="I31" s="418"/>
    </row>
    <row r="32" spans="1:6" ht="17.25">
      <c r="A32" s="60">
        <v>1</v>
      </c>
      <c r="B32" s="61" t="s">
        <v>595</v>
      </c>
      <c r="C32" s="62">
        <v>151</v>
      </c>
      <c r="D32" s="62"/>
      <c r="E32" s="28">
        <v>110077463</v>
      </c>
      <c r="F32" s="28"/>
    </row>
    <row r="33" spans="1:7" ht="17.25">
      <c r="A33" s="60">
        <v>2</v>
      </c>
      <c r="B33" s="61" t="s">
        <v>538</v>
      </c>
      <c r="C33" s="62">
        <v>152</v>
      </c>
      <c r="D33" s="62"/>
      <c r="E33" s="28">
        <v>7342437947</v>
      </c>
      <c r="F33" s="28">
        <v>9422816422</v>
      </c>
      <c r="G33" s="361"/>
    </row>
    <row r="34" spans="1:6" ht="17.25">
      <c r="A34" s="60">
        <v>3</v>
      </c>
      <c r="B34" s="61" t="s">
        <v>540</v>
      </c>
      <c r="C34" s="62">
        <v>154</v>
      </c>
      <c r="D34" s="62" t="s">
        <v>541</v>
      </c>
      <c r="E34" s="28"/>
      <c r="F34" s="28"/>
    </row>
    <row r="35" spans="1:6" ht="17.25">
      <c r="A35" s="60">
        <v>4</v>
      </c>
      <c r="B35" s="61" t="s">
        <v>594</v>
      </c>
      <c r="C35" s="62">
        <v>158</v>
      </c>
      <c r="D35" s="62"/>
      <c r="E35" s="28">
        <v>302559878</v>
      </c>
      <c r="F35" s="28">
        <v>435025585</v>
      </c>
    </row>
    <row r="36" spans="1:9" s="34" customFormat="1" ht="17.25">
      <c r="A36" s="56" t="s">
        <v>456</v>
      </c>
      <c r="B36" s="57" t="s">
        <v>596</v>
      </c>
      <c r="C36" s="58">
        <v>200</v>
      </c>
      <c r="D36" s="58"/>
      <c r="E36" s="59">
        <v>59856558941</v>
      </c>
      <c r="F36" s="59">
        <f>+F37+F43+F54+F57+F62</f>
        <v>67369768691</v>
      </c>
      <c r="G36" s="107"/>
      <c r="H36" s="351"/>
      <c r="I36" s="418"/>
    </row>
    <row r="37" spans="1:9" s="34" customFormat="1" ht="17.25">
      <c r="A37" s="56" t="s">
        <v>442</v>
      </c>
      <c r="B37" s="57" t="s">
        <v>597</v>
      </c>
      <c r="C37" s="58">
        <v>210</v>
      </c>
      <c r="D37" s="58"/>
      <c r="E37" s="59">
        <v>359966008</v>
      </c>
      <c r="F37" s="59">
        <f>SUM(F38:F42)</f>
        <v>325366008</v>
      </c>
      <c r="G37" s="107"/>
      <c r="H37" s="351"/>
      <c r="I37" s="418"/>
    </row>
    <row r="38" spans="1:9" s="20" customFormat="1" ht="17.25">
      <c r="A38" s="60">
        <v>1</v>
      </c>
      <c r="B38" s="61" t="s">
        <v>598</v>
      </c>
      <c r="C38" s="62">
        <v>211</v>
      </c>
      <c r="D38" s="62"/>
      <c r="E38" s="28">
        <v>77364061</v>
      </c>
      <c r="F38" s="28">
        <f>5728361+14328500+25707200</f>
        <v>45764061</v>
      </c>
      <c r="G38" s="107"/>
      <c r="H38" s="234"/>
      <c r="I38" s="322"/>
    </row>
    <row r="39" spans="1:9" s="20" customFormat="1" ht="17.25">
      <c r="A39" s="60">
        <v>2</v>
      </c>
      <c r="B39" s="61" t="s">
        <v>542</v>
      </c>
      <c r="C39" s="62">
        <v>212</v>
      </c>
      <c r="D39" s="62"/>
      <c r="E39" s="28"/>
      <c r="F39" s="28"/>
      <c r="G39" s="107"/>
      <c r="H39" s="234"/>
      <c r="I39" s="322"/>
    </row>
    <row r="40" spans="1:9" s="20" customFormat="1" ht="17.25">
      <c r="A40" s="60">
        <v>3</v>
      </c>
      <c r="B40" s="61" t="s">
        <v>556</v>
      </c>
      <c r="C40" s="62">
        <v>213</v>
      </c>
      <c r="D40" s="62" t="s">
        <v>557</v>
      </c>
      <c r="E40" s="28"/>
      <c r="F40" s="28"/>
      <c r="G40" s="107"/>
      <c r="H40" s="234"/>
      <c r="I40" s="322"/>
    </row>
    <row r="41" spans="1:9" s="20" customFormat="1" ht="17.25">
      <c r="A41" s="60">
        <v>4</v>
      </c>
      <c r="B41" s="61" t="s">
        <v>582</v>
      </c>
      <c r="C41" s="62">
        <v>218</v>
      </c>
      <c r="D41" s="62" t="s">
        <v>558</v>
      </c>
      <c r="E41" s="28">
        <v>282601947</v>
      </c>
      <c r="F41" s="28">
        <v>279601947</v>
      </c>
      <c r="G41" s="107"/>
      <c r="H41" s="234"/>
      <c r="I41" s="479"/>
    </row>
    <row r="42" spans="1:9" s="21" customFormat="1" ht="17.25">
      <c r="A42" s="63">
        <v>5</v>
      </c>
      <c r="B42" s="64" t="s">
        <v>599</v>
      </c>
      <c r="C42" s="65">
        <v>219</v>
      </c>
      <c r="D42" s="65"/>
      <c r="E42" s="66"/>
      <c r="F42" s="66"/>
      <c r="G42" s="107"/>
      <c r="H42" s="351"/>
      <c r="I42" s="27"/>
    </row>
    <row r="43" spans="1:9" s="34" customFormat="1" ht="17.25">
      <c r="A43" s="56" t="s">
        <v>444</v>
      </c>
      <c r="B43" s="67" t="s">
        <v>600</v>
      </c>
      <c r="C43" s="58">
        <v>220</v>
      </c>
      <c r="D43" s="58"/>
      <c r="E43" s="59">
        <f>+E44+E47+E50+E53</f>
        <v>50824168939</v>
      </c>
      <c r="F43" s="59">
        <f>+F44+F47+F50+F53</f>
        <v>57060421181</v>
      </c>
      <c r="G43" s="107"/>
      <c r="H43" s="351"/>
      <c r="I43" s="418"/>
    </row>
    <row r="44" spans="1:6" ht="17.25">
      <c r="A44" s="60">
        <v>1</v>
      </c>
      <c r="B44" s="61" t="s">
        <v>457</v>
      </c>
      <c r="C44" s="62">
        <v>221</v>
      </c>
      <c r="D44" s="62" t="s">
        <v>559</v>
      </c>
      <c r="E44" s="28">
        <v>50824168939</v>
      </c>
      <c r="F44" s="28">
        <f>+F45+F46</f>
        <v>48598708605</v>
      </c>
    </row>
    <row r="45" spans="1:6" ht="17.25">
      <c r="A45" s="60"/>
      <c r="B45" s="61" t="s">
        <v>458</v>
      </c>
      <c r="C45" s="62">
        <v>222</v>
      </c>
      <c r="D45" s="62"/>
      <c r="E45" s="28">
        <v>96802304153</v>
      </c>
      <c r="F45" s="28">
        <v>102292462017</v>
      </c>
    </row>
    <row r="46" spans="1:8" ht="17.25">
      <c r="A46" s="60"/>
      <c r="B46" s="61" t="s">
        <v>459</v>
      </c>
      <c r="C46" s="62">
        <v>223</v>
      </c>
      <c r="D46" s="62"/>
      <c r="E46" s="28">
        <v>-45978135214</v>
      </c>
      <c r="F46" s="28">
        <v>-53693753412</v>
      </c>
      <c r="H46" s="350"/>
    </row>
    <row r="47" spans="1:6" ht="17.25">
      <c r="A47" s="78">
        <v>2</v>
      </c>
      <c r="B47" s="79" t="s">
        <v>460</v>
      </c>
      <c r="C47" s="80">
        <v>224</v>
      </c>
      <c r="D47" s="80" t="s">
        <v>560</v>
      </c>
      <c r="E47" s="81">
        <v>0</v>
      </c>
      <c r="F47" s="81">
        <f>SUM(F48:F49)</f>
        <v>0</v>
      </c>
    </row>
    <row r="48" spans="1:6" ht="17.25">
      <c r="A48" s="60"/>
      <c r="B48" s="61" t="s">
        <v>458</v>
      </c>
      <c r="C48" s="62">
        <v>225</v>
      </c>
      <c r="D48" s="62"/>
      <c r="E48" s="28"/>
      <c r="F48" s="28"/>
    </row>
    <row r="49" spans="1:6" ht="17.25">
      <c r="A49" s="60"/>
      <c r="B49" s="61" t="s">
        <v>459</v>
      </c>
      <c r="C49" s="62">
        <v>226</v>
      </c>
      <c r="D49" s="62"/>
      <c r="E49" s="28"/>
      <c r="F49" s="28"/>
    </row>
    <row r="50" spans="1:6" ht="17.25">
      <c r="A50" s="60">
        <v>3</v>
      </c>
      <c r="B50" s="61" t="s">
        <v>461</v>
      </c>
      <c r="C50" s="62">
        <v>227</v>
      </c>
      <c r="D50" s="62" t="s">
        <v>561</v>
      </c>
      <c r="E50" s="28">
        <v>0</v>
      </c>
      <c r="F50" s="28">
        <f>SUM(F51:F52)</f>
        <v>63994880</v>
      </c>
    </row>
    <row r="51" spans="1:8" ht="17.25">
      <c r="A51" s="60"/>
      <c r="B51" s="61" t="s">
        <v>458</v>
      </c>
      <c r="C51" s="62">
        <v>228</v>
      </c>
      <c r="D51" s="62"/>
      <c r="E51" s="28">
        <v>10000000</v>
      </c>
      <c r="F51" s="28">
        <v>73994880</v>
      </c>
      <c r="H51" s="233"/>
    </row>
    <row r="52" spans="1:8" ht="17.25">
      <c r="A52" s="60"/>
      <c r="B52" s="61" t="s">
        <v>459</v>
      </c>
      <c r="C52" s="62">
        <v>229</v>
      </c>
      <c r="D52" s="62"/>
      <c r="E52" s="28">
        <v>-10000000</v>
      </c>
      <c r="F52" s="28">
        <v>-10000000</v>
      </c>
      <c r="H52" s="350"/>
    </row>
    <row r="53" spans="1:9" s="209" customFormat="1" ht="17.25">
      <c r="A53" s="60">
        <v>4</v>
      </c>
      <c r="B53" s="470" t="s">
        <v>312</v>
      </c>
      <c r="C53" s="232">
        <v>230</v>
      </c>
      <c r="D53" s="232" t="s">
        <v>562</v>
      </c>
      <c r="E53" s="70"/>
      <c r="F53" s="70">
        <f>179090909+207574273+8011052514</f>
        <v>8397717696</v>
      </c>
      <c r="G53" s="107"/>
      <c r="H53" s="234"/>
      <c r="I53" s="481"/>
    </row>
    <row r="54" spans="1:9" s="44" customFormat="1" ht="17.25">
      <c r="A54" s="56" t="s">
        <v>447</v>
      </c>
      <c r="B54" s="57" t="s">
        <v>604</v>
      </c>
      <c r="C54" s="58">
        <v>240</v>
      </c>
      <c r="D54" s="58" t="s">
        <v>563</v>
      </c>
      <c r="E54" s="59">
        <v>0</v>
      </c>
      <c r="F54" s="59">
        <f>+F55+F56</f>
        <v>0</v>
      </c>
      <c r="G54" s="359"/>
      <c r="H54" s="351"/>
      <c r="I54" s="420"/>
    </row>
    <row r="55" spans="1:6" ht="17.25">
      <c r="A55" s="60"/>
      <c r="B55" s="68" t="s">
        <v>605</v>
      </c>
      <c r="C55" s="62">
        <v>241</v>
      </c>
      <c r="D55" s="62"/>
      <c r="E55" s="28"/>
      <c r="F55" s="28"/>
    </row>
    <row r="56" spans="1:6" ht="17.25">
      <c r="A56" s="60"/>
      <c r="B56" s="68" t="s">
        <v>606</v>
      </c>
      <c r="C56" s="62">
        <v>242</v>
      </c>
      <c r="D56" s="62"/>
      <c r="E56" s="28"/>
      <c r="F56" s="28"/>
    </row>
    <row r="57" spans="1:9" s="44" customFormat="1" ht="17.25">
      <c r="A57" s="56" t="s">
        <v>453</v>
      </c>
      <c r="B57" s="57" t="s">
        <v>462</v>
      </c>
      <c r="C57" s="58">
        <v>250</v>
      </c>
      <c r="D57" s="58"/>
      <c r="E57" s="59">
        <v>6202880000</v>
      </c>
      <c r="F57" s="59">
        <f>SUM(F58:F61)</f>
        <v>7533430000</v>
      </c>
      <c r="G57" s="359"/>
      <c r="H57" s="351"/>
      <c r="I57" s="420"/>
    </row>
    <row r="58" spans="1:9" s="209" customFormat="1" ht="17.25">
      <c r="A58" s="60">
        <v>1</v>
      </c>
      <c r="B58" s="61" t="s">
        <v>607</v>
      </c>
      <c r="C58" s="232">
        <v>251</v>
      </c>
      <c r="D58" s="232"/>
      <c r="E58" s="70"/>
      <c r="F58" s="70"/>
      <c r="G58" s="107"/>
      <c r="H58" s="234"/>
      <c r="I58" s="419"/>
    </row>
    <row r="59" spans="1:9" s="234" customFormat="1" ht="17.25">
      <c r="A59" s="60">
        <v>2</v>
      </c>
      <c r="B59" s="61" t="s">
        <v>608</v>
      </c>
      <c r="C59" s="62">
        <v>252</v>
      </c>
      <c r="D59" s="62"/>
      <c r="E59" s="28">
        <v>6202880000</v>
      </c>
      <c r="F59" s="28">
        <v>7533430000</v>
      </c>
      <c r="G59" s="359"/>
      <c r="I59" s="352"/>
    </row>
    <row r="60" spans="1:9" s="209" customFormat="1" ht="17.25">
      <c r="A60" s="60">
        <v>3</v>
      </c>
      <c r="B60" s="61" t="s">
        <v>463</v>
      </c>
      <c r="C60" s="232">
        <v>258</v>
      </c>
      <c r="D60" s="232" t="s">
        <v>564</v>
      </c>
      <c r="E60" s="70"/>
      <c r="F60" s="70"/>
      <c r="G60" s="107"/>
      <c r="H60" s="234"/>
      <c r="I60" s="419"/>
    </row>
    <row r="61" spans="1:9" s="209" customFormat="1" ht="17.25">
      <c r="A61" s="60">
        <v>4</v>
      </c>
      <c r="B61" s="61" t="s">
        <v>609</v>
      </c>
      <c r="C61" s="232">
        <v>259</v>
      </c>
      <c r="D61" s="232"/>
      <c r="E61" s="70"/>
      <c r="F61" s="70"/>
      <c r="G61" s="107"/>
      <c r="H61" s="234"/>
      <c r="I61" s="419"/>
    </row>
    <row r="62" spans="1:9" s="34" customFormat="1" ht="17.25">
      <c r="A62" s="56" t="s">
        <v>455</v>
      </c>
      <c r="B62" s="57" t="s">
        <v>610</v>
      </c>
      <c r="C62" s="58">
        <v>260</v>
      </c>
      <c r="D62" s="58"/>
      <c r="E62" s="59">
        <v>2469543994</v>
      </c>
      <c r="F62" s="59">
        <f>SUM(F63:F65)</f>
        <v>2450551502</v>
      </c>
      <c r="G62" s="107"/>
      <c r="H62" s="351"/>
      <c r="I62" s="418"/>
    </row>
    <row r="63" spans="1:9" s="209" customFormat="1" ht="17.25">
      <c r="A63" s="60">
        <v>1</v>
      </c>
      <c r="B63" s="61" t="s">
        <v>611</v>
      </c>
      <c r="C63" s="232">
        <v>261</v>
      </c>
      <c r="D63" s="232" t="s">
        <v>565</v>
      </c>
      <c r="E63" s="70">
        <v>2469543994</v>
      </c>
      <c r="F63" s="70">
        <f>2450551502</f>
        <v>2450551502</v>
      </c>
      <c r="G63" s="107"/>
      <c r="H63" s="234"/>
      <c r="I63" s="481"/>
    </row>
    <row r="64" spans="1:9" s="34" customFormat="1" ht="17.25">
      <c r="A64" s="63">
        <v>2</v>
      </c>
      <c r="B64" s="64" t="s">
        <v>612</v>
      </c>
      <c r="C64" s="58">
        <v>262</v>
      </c>
      <c r="D64" s="58" t="s">
        <v>566</v>
      </c>
      <c r="E64" s="59"/>
      <c r="F64" s="59"/>
      <c r="G64" s="107"/>
      <c r="H64" s="351"/>
      <c r="I64" s="418"/>
    </row>
    <row r="65" spans="1:6" ht="17.25">
      <c r="A65" s="60">
        <v>3</v>
      </c>
      <c r="B65" s="61" t="s">
        <v>610</v>
      </c>
      <c r="C65" s="62">
        <v>268</v>
      </c>
      <c r="D65" s="62"/>
      <c r="E65" s="28"/>
      <c r="F65" s="28"/>
    </row>
    <row r="66" spans="1:6" ht="17.25">
      <c r="A66" s="71"/>
      <c r="B66" s="72"/>
      <c r="C66" s="73"/>
      <c r="D66" s="73"/>
      <c r="E66" s="74"/>
      <c r="F66" s="74"/>
    </row>
    <row r="67" spans="1:8" s="27" customFormat="1" ht="17.25">
      <c r="A67" s="501" t="s">
        <v>465</v>
      </c>
      <c r="B67" s="501"/>
      <c r="C67" s="124">
        <v>250</v>
      </c>
      <c r="D67" s="124"/>
      <c r="E67" s="206">
        <v>121430102464</v>
      </c>
      <c r="F67" s="206">
        <f>F14+F36</f>
        <v>181557551401</v>
      </c>
      <c r="G67" s="207"/>
      <c r="H67" s="353"/>
    </row>
    <row r="68" spans="1:9" s="21" customFormat="1" ht="17.25">
      <c r="A68" s="75"/>
      <c r="B68" s="76" t="s">
        <v>466</v>
      </c>
      <c r="C68" s="76"/>
      <c r="D68" s="76"/>
      <c r="E68" s="77"/>
      <c r="F68" s="77"/>
      <c r="G68" s="107"/>
      <c r="H68" s="351"/>
      <c r="I68" s="27"/>
    </row>
    <row r="69" spans="1:9" s="21" customFormat="1" ht="17.25">
      <c r="A69" s="56" t="s">
        <v>440</v>
      </c>
      <c r="B69" s="57" t="s">
        <v>467</v>
      </c>
      <c r="C69" s="58">
        <v>300</v>
      </c>
      <c r="D69" s="58"/>
      <c r="E69" s="59">
        <f>E70+E81</f>
        <v>81915900992</v>
      </c>
      <c r="F69" s="59">
        <f>F70+F81</f>
        <v>72856866201</v>
      </c>
      <c r="G69" s="107"/>
      <c r="H69" s="351"/>
      <c r="I69" s="27"/>
    </row>
    <row r="70" spans="1:9" s="34" customFormat="1" ht="17.25">
      <c r="A70" s="56" t="s">
        <v>442</v>
      </c>
      <c r="B70" s="57" t="s">
        <v>468</v>
      </c>
      <c r="C70" s="58">
        <v>310</v>
      </c>
      <c r="D70" s="58"/>
      <c r="E70" s="59">
        <f>SUM(E71:E79)</f>
        <v>65365163351</v>
      </c>
      <c r="F70" s="59">
        <f>SUM(F71:F79)</f>
        <v>69506887276</v>
      </c>
      <c r="G70" s="107"/>
      <c r="H70" s="351"/>
      <c r="I70" s="418"/>
    </row>
    <row r="71" spans="1:6" ht="17.25">
      <c r="A71" s="60">
        <v>1</v>
      </c>
      <c r="B71" s="61" t="s">
        <v>613</v>
      </c>
      <c r="C71" s="62">
        <v>311</v>
      </c>
      <c r="D71" s="62" t="s">
        <v>567</v>
      </c>
      <c r="E71" s="28">
        <v>29385867534</v>
      </c>
      <c r="F71" s="28">
        <f>11604832945+5319154517</f>
        <v>16923987462</v>
      </c>
    </row>
    <row r="72" spans="1:9" ht="17.25">
      <c r="A72" s="60">
        <v>2</v>
      </c>
      <c r="B72" s="61" t="s">
        <v>469</v>
      </c>
      <c r="C72" s="62">
        <v>312</v>
      </c>
      <c r="D72" s="62"/>
      <c r="E72" s="28">
        <v>13544400662</v>
      </c>
      <c r="F72" s="28">
        <f>18595381928</f>
        <v>18595381928</v>
      </c>
      <c r="I72" s="344"/>
    </row>
    <row r="73" spans="1:6" ht="17.25">
      <c r="A73" s="60">
        <v>3</v>
      </c>
      <c r="B73" s="61" t="s">
        <v>470</v>
      </c>
      <c r="C73" s="62">
        <v>313</v>
      </c>
      <c r="D73" s="62"/>
      <c r="E73" s="28">
        <v>11943160388</v>
      </c>
      <c r="F73" s="28">
        <v>20201532350</v>
      </c>
    </row>
    <row r="74" spans="1:9" ht="17.25">
      <c r="A74" s="60">
        <v>4</v>
      </c>
      <c r="B74" s="61" t="s">
        <v>471</v>
      </c>
      <c r="C74" s="62">
        <v>314</v>
      </c>
      <c r="D74" s="62" t="s">
        <v>568</v>
      </c>
      <c r="E74" s="101">
        <v>782508931</v>
      </c>
      <c r="F74" s="28">
        <f>1238610567+236284599+7711980</f>
        <v>1482607146</v>
      </c>
      <c r="I74" s="344"/>
    </row>
    <row r="75" spans="1:6" ht="17.25">
      <c r="A75" s="60">
        <v>5</v>
      </c>
      <c r="B75" s="61" t="s">
        <v>472</v>
      </c>
      <c r="C75" s="62">
        <v>315</v>
      </c>
      <c r="D75" s="62"/>
      <c r="E75" s="28">
        <v>5910104176</v>
      </c>
      <c r="F75" s="28">
        <f>2066955537+649249700+1693287228+3773882693+223891771+195081250+104484938-113858614</f>
        <v>8592974503</v>
      </c>
    </row>
    <row r="76" spans="1:9" ht="17.25">
      <c r="A76" s="60">
        <v>6</v>
      </c>
      <c r="B76" s="61" t="s">
        <v>475</v>
      </c>
      <c r="C76" s="62">
        <v>316</v>
      </c>
      <c r="D76" s="62" t="s">
        <v>569</v>
      </c>
      <c r="E76" s="102">
        <v>0</v>
      </c>
      <c r="F76" s="28">
        <f>80000000+283713443</f>
        <v>363713443</v>
      </c>
      <c r="I76" s="344"/>
    </row>
    <row r="77" spans="1:6" ht="17.25">
      <c r="A77" s="60">
        <v>7</v>
      </c>
      <c r="B77" s="61" t="s">
        <v>614</v>
      </c>
      <c r="C77" s="62">
        <v>317</v>
      </c>
      <c r="D77" s="62"/>
      <c r="E77" s="28"/>
      <c r="F77" s="28"/>
    </row>
    <row r="78" spans="1:6" ht="17.25">
      <c r="A78" s="60">
        <v>8</v>
      </c>
      <c r="B78" s="61" t="s">
        <v>615</v>
      </c>
      <c r="C78" s="62">
        <v>318</v>
      </c>
      <c r="D78" s="62"/>
      <c r="E78" s="28"/>
      <c r="F78" s="28"/>
    </row>
    <row r="79" spans="1:9" ht="17.25">
      <c r="A79" s="60">
        <v>9</v>
      </c>
      <c r="B79" s="61" t="s">
        <v>473</v>
      </c>
      <c r="C79" s="62">
        <v>319</v>
      </c>
      <c r="D79" s="62" t="s">
        <v>570</v>
      </c>
      <c r="E79" s="28">
        <v>3799121660</v>
      </c>
      <c r="F79" s="102">
        <v>3346690444</v>
      </c>
      <c r="I79" s="344"/>
    </row>
    <row r="80" spans="1:6" ht="17.25">
      <c r="A80" s="60"/>
      <c r="B80" s="61"/>
      <c r="C80" s="62"/>
      <c r="D80" s="62"/>
      <c r="E80" s="28"/>
      <c r="F80" s="28"/>
    </row>
    <row r="81" spans="1:9" s="34" customFormat="1" ht="17.25">
      <c r="A81" s="56" t="s">
        <v>444</v>
      </c>
      <c r="B81" s="57" t="s">
        <v>474</v>
      </c>
      <c r="C81" s="58">
        <v>320</v>
      </c>
      <c r="D81" s="58"/>
      <c r="E81" s="59">
        <f>SUM(E82:E87)</f>
        <v>16550737641</v>
      </c>
      <c r="F81" s="59">
        <f>SUM(F82:F87)</f>
        <v>3349978925</v>
      </c>
      <c r="G81" s="107"/>
      <c r="H81" s="351"/>
      <c r="I81" s="418"/>
    </row>
    <row r="82" spans="1:8" ht="17.25">
      <c r="A82" s="60">
        <v>1</v>
      </c>
      <c r="B82" s="61" t="s">
        <v>616</v>
      </c>
      <c r="C82" s="62">
        <v>321</v>
      </c>
      <c r="D82" s="62"/>
      <c r="E82" s="28"/>
      <c r="F82" s="28"/>
      <c r="H82" s="349"/>
    </row>
    <row r="83" spans="1:6" ht="17.25">
      <c r="A83" s="60">
        <v>2</v>
      </c>
      <c r="B83" s="61" t="s">
        <v>617</v>
      </c>
      <c r="C83" s="62">
        <v>322</v>
      </c>
      <c r="D83" s="62" t="s">
        <v>571</v>
      </c>
      <c r="E83" s="28"/>
      <c r="F83" s="28"/>
    </row>
    <row r="84" spans="1:6" ht="17.25">
      <c r="A84" s="60">
        <v>3</v>
      </c>
      <c r="B84" s="61" t="s">
        <v>618</v>
      </c>
      <c r="C84" s="62">
        <v>323</v>
      </c>
      <c r="D84" s="62"/>
      <c r="E84" s="28"/>
      <c r="F84" s="28"/>
    </row>
    <row r="85" spans="1:6" ht="17.25">
      <c r="A85" s="60">
        <v>4</v>
      </c>
      <c r="B85" s="61" t="s">
        <v>627</v>
      </c>
      <c r="C85" s="62">
        <v>324</v>
      </c>
      <c r="D85" s="62" t="s">
        <v>572</v>
      </c>
      <c r="E85" s="28">
        <v>15932968501</v>
      </c>
      <c r="F85" s="28">
        <v>2923843501</v>
      </c>
    </row>
    <row r="86" spans="1:6" ht="17.25">
      <c r="A86" s="60">
        <v>5</v>
      </c>
      <c r="B86" s="61" t="s">
        <v>619</v>
      </c>
      <c r="C86" s="62">
        <v>325</v>
      </c>
      <c r="D86" s="62" t="s">
        <v>566</v>
      </c>
      <c r="E86" s="28"/>
      <c r="F86" s="28"/>
    </row>
    <row r="87" spans="1:6" ht="16.5" customHeight="1">
      <c r="A87" s="60">
        <v>6</v>
      </c>
      <c r="B87" s="61" t="s">
        <v>655</v>
      </c>
      <c r="C87" s="62">
        <v>336</v>
      </c>
      <c r="D87" s="62"/>
      <c r="E87" s="28">
        <v>617769140</v>
      </c>
      <c r="F87" s="28">
        <v>426135424</v>
      </c>
    </row>
    <row r="88" spans="1:6" ht="10.5" customHeight="1">
      <c r="A88" s="60"/>
      <c r="B88" s="61"/>
      <c r="C88" s="62"/>
      <c r="D88" s="62"/>
      <c r="E88" s="28"/>
      <c r="F88" s="28"/>
    </row>
    <row r="89" spans="1:9" s="21" customFormat="1" ht="17.25">
      <c r="A89" s="56" t="s">
        <v>456</v>
      </c>
      <c r="B89" s="57" t="s">
        <v>476</v>
      </c>
      <c r="C89" s="58">
        <v>400</v>
      </c>
      <c r="D89" s="58"/>
      <c r="E89" s="59">
        <f>E90+E101</f>
        <v>39514201472</v>
      </c>
      <c r="F89" s="59">
        <f>+F90+F101+F105</f>
        <v>108700685200</v>
      </c>
      <c r="G89" s="107"/>
      <c r="H89" s="351"/>
      <c r="I89" s="27"/>
    </row>
    <row r="90" spans="1:9" s="34" customFormat="1" ht="19.5" customHeight="1">
      <c r="A90" s="56" t="s">
        <v>442</v>
      </c>
      <c r="B90" s="57" t="s">
        <v>620</v>
      </c>
      <c r="C90" s="58">
        <v>410</v>
      </c>
      <c r="D90" s="58" t="s">
        <v>573</v>
      </c>
      <c r="E90" s="59">
        <f>SUM(E91:E100)</f>
        <v>37683827343</v>
      </c>
      <c r="F90" s="59">
        <f>SUM(F91:F100)</f>
        <v>107847814089</v>
      </c>
      <c r="G90" s="107"/>
      <c r="H90" s="351"/>
      <c r="I90" s="418"/>
    </row>
    <row r="91" spans="1:9" ht="17.25">
      <c r="A91" s="60">
        <v>1</v>
      </c>
      <c r="B91" s="61" t="s">
        <v>621</v>
      </c>
      <c r="C91" s="62">
        <v>411</v>
      </c>
      <c r="D91" s="62"/>
      <c r="E91" s="28">
        <v>22750000000</v>
      </c>
      <c r="F91" s="28">
        <v>46694970000</v>
      </c>
      <c r="I91" s="344"/>
    </row>
    <row r="92" spans="1:9" ht="17.25">
      <c r="A92" s="60">
        <v>2</v>
      </c>
      <c r="B92" s="61" t="s">
        <v>622</v>
      </c>
      <c r="C92" s="62">
        <v>412</v>
      </c>
      <c r="D92" s="62"/>
      <c r="E92" s="28"/>
      <c r="F92" s="28">
        <v>47990911925</v>
      </c>
      <c r="I92" s="344"/>
    </row>
    <row r="93" spans="1:9" ht="17.25">
      <c r="A93" s="60">
        <v>3</v>
      </c>
      <c r="B93" s="61" t="s">
        <v>623</v>
      </c>
      <c r="C93" s="62">
        <v>413</v>
      </c>
      <c r="D93" s="62"/>
      <c r="E93" s="28">
        <v>-293000000</v>
      </c>
      <c r="F93" s="28">
        <v>-1500000</v>
      </c>
      <c r="I93" s="344"/>
    </row>
    <row r="94" spans="1:6" ht="17.25">
      <c r="A94" s="60">
        <v>4</v>
      </c>
      <c r="B94" s="61" t="s">
        <v>477</v>
      </c>
      <c r="C94" s="62">
        <v>414</v>
      </c>
      <c r="D94" s="62"/>
      <c r="E94" s="28"/>
      <c r="F94" s="28"/>
    </row>
    <row r="95" spans="1:6" ht="17.25">
      <c r="A95" s="60">
        <v>5</v>
      </c>
      <c r="B95" s="61" t="s">
        <v>624</v>
      </c>
      <c r="C95" s="62">
        <v>415</v>
      </c>
      <c r="D95" s="62"/>
      <c r="E95" s="28"/>
      <c r="F95" s="28">
        <v>0</v>
      </c>
    </row>
    <row r="96" spans="1:9" ht="17.25">
      <c r="A96" s="60">
        <v>6</v>
      </c>
      <c r="B96" s="61" t="s">
        <v>478</v>
      </c>
      <c r="C96" s="62">
        <v>416</v>
      </c>
      <c r="D96" s="62"/>
      <c r="E96" s="28">
        <v>12685321582</v>
      </c>
      <c r="F96" s="28">
        <v>8529736928</v>
      </c>
      <c r="I96" s="344"/>
    </row>
    <row r="97" spans="1:9" ht="17.25">
      <c r="A97" s="60">
        <v>7</v>
      </c>
      <c r="B97" s="61" t="s">
        <v>479</v>
      </c>
      <c r="C97" s="62">
        <v>417</v>
      </c>
      <c r="D97" s="62"/>
      <c r="E97" s="28">
        <v>1194085761</v>
      </c>
      <c r="F97" s="28">
        <v>1901628522</v>
      </c>
      <c r="I97" s="344"/>
    </row>
    <row r="98" spans="1:6" ht="17.25">
      <c r="A98" s="60">
        <v>8</v>
      </c>
      <c r="B98" s="61" t="s">
        <v>625</v>
      </c>
      <c r="C98" s="62">
        <v>418</v>
      </c>
      <c r="D98" s="62"/>
      <c r="E98" s="28"/>
      <c r="F98" s="28"/>
    </row>
    <row r="99" spans="1:9" ht="17.25">
      <c r="A99" s="60">
        <v>9</v>
      </c>
      <c r="B99" s="61" t="s">
        <v>480</v>
      </c>
      <c r="C99" s="62">
        <v>419</v>
      </c>
      <c r="D99" s="62"/>
      <c r="E99" s="28">
        <v>1347420000</v>
      </c>
      <c r="F99" s="94">
        <v>2732066714</v>
      </c>
      <c r="I99" s="344"/>
    </row>
    <row r="100" spans="1:6" ht="9.75" customHeight="1">
      <c r="A100" s="60"/>
      <c r="B100" s="61"/>
      <c r="C100" s="62"/>
      <c r="D100" s="62"/>
      <c r="E100" s="70"/>
      <c r="F100" s="70"/>
    </row>
    <row r="101" spans="1:9" s="34" customFormat="1" ht="17.25">
      <c r="A101" s="56" t="s">
        <v>444</v>
      </c>
      <c r="B101" s="57" t="s">
        <v>482</v>
      </c>
      <c r="C101" s="58">
        <v>420</v>
      </c>
      <c r="D101" s="58"/>
      <c r="E101" s="59">
        <f>SUM(E102:E104)</f>
        <v>1830374129</v>
      </c>
      <c r="F101" s="59">
        <f>SUM(F102:F104)</f>
        <v>852871111</v>
      </c>
      <c r="G101" s="107"/>
      <c r="H101" s="41"/>
      <c r="I101" s="418"/>
    </row>
    <row r="102" spans="1:9" s="34" customFormat="1" ht="17.25">
      <c r="A102" s="60">
        <v>1</v>
      </c>
      <c r="B102" s="69" t="s">
        <v>481</v>
      </c>
      <c r="C102" s="58">
        <v>421</v>
      </c>
      <c r="D102" s="58"/>
      <c r="E102" s="70">
        <v>1830374129</v>
      </c>
      <c r="F102" s="338">
        <v>852871111</v>
      </c>
      <c r="G102" s="107"/>
      <c r="H102" s="41"/>
      <c r="I102" s="482"/>
    </row>
    <row r="103" spans="1:9" s="34" customFormat="1" ht="17.25">
      <c r="A103" s="60">
        <v>2</v>
      </c>
      <c r="B103" s="61" t="s">
        <v>626</v>
      </c>
      <c r="C103" s="58">
        <v>422</v>
      </c>
      <c r="D103" s="58" t="s">
        <v>574</v>
      </c>
      <c r="E103" s="70"/>
      <c r="F103" s="70">
        <v>0</v>
      </c>
      <c r="G103" s="107"/>
      <c r="H103" s="41"/>
      <c r="I103" s="418"/>
    </row>
    <row r="104" spans="1:8" ht="17.25">
      <c r="A104" s="71">
        <v>3</v>
      </c>
      <c r="B104" s="72" t="s">
        <v>493</v>
      </c>
      <c r="C104" s="73">
        <v>423</v>
      </c>
      <c r="D104" s="73"/>
      <c r="E104" s="70"/>
      <c r="F104" s="70"/>
      <c r="H104" s="41"/>
    </row>
    <row r="105" spans="1:9" s="234" customFormat="1" ht="7.5" customHeight="1">
      <c r="A105" s="90"/>
      <c r="B105" s="91"/>
      <c r="C105" s="92"/>
      <c r="D105" s="92"/>
      <c r="E105" s="93"/>
      <c r="F105" s="339"/>
      <c r="G105" s="359"/>
      <c r="H105" s="41"/>
      <c r="I105" s="352"/>
    </row>
    <row r="106" spans="1:8" ht="17.25">
      <c r="A106" s="501" t="s">
        <v>483</v>
      </c>
      <c r="B106" s="501"/>
      <c r="C106" s="124">
        <v>430</v>
      </c>
      <c r="D106" s="124"/>
      <c r="E106" s="206">
        <f>+E89+E69</f>
        <v>121430102464</v>
      </c>
      <c r="F106" s="206">
        <f>+F89+F69</f>
        <v>181557551401</v>
      </c>
      <c r="H106" s="41"/>
    </row>
    <row r="107" spans="5:8" ht="17.25">
      <c r="E107" s="101">
        <f>+E106-E67</f>
        <v>0</v>
      </c>
      <c r="F107" s="101">
        <f>+F106-F67</f>
        <v>0</v>
      </c>
      <c r="H107" s="41"/>
    </row>
    <row r="108" ht="17.25">
      <c r="E108" s="101"/>
    </row>
    <row r="109" spans="1:8" s="342" customFormat="1" ht="17.25">
      <c r="A109" s="345"/>
      <c r="B109" s="346"/>
      <c r="C109" s="347"/>
      <c r="D109" s="347"/>
      <c r="E109" s="348"/>
      <c r="F109" s="341"/>
      <c r="G109" s="362"/>
      <c r="H109" s="352"/>
    </row>
    <row r="110" spans="1:8" s="342" customFormat="1" ht="17.25">
      <c r="A110" s="345"/>
      <c r="B110" s="346"/>
      <c r="C110" s="347"/>
      <c r="D110" s="347"/>
      <c r="E110" s="348"/>
      <c r="F110" s="341"/>
      <c r="G110" s="362"/>
      <c r="H110" s="352"/>
    </row>
    <row r="111" spans="1:8" s="342" customFormat="1" ht="17.25">
      <c r="A111" s="345"/>
      <c r="B111" s="346"/>
      <c r="C111" s="347"/>
      <c r="D111" s="347"/>
      <c r="E111" s="348"/>
      <c r="F111" s="341"/>
      <c r="G111" s="362"/>
      <c r="H111" s="352"/>
    </row>
    <row r="112" spans="1:8" s="342" customFormat="1" ht="17.25">
      <c r="A112" s="345"/>
      <c r="B112" s="346"/>
      <c r="C112" s="347"/>
      <c r="D112" s="347"/>
      <c r="E112" s="348"/>
      <c r="F112" s="341"/>
      <c r="G112" s="362"/>
      <c r="H112" s="352"/>
    </row>
    <row r="113" spans="1:8" s="342" customFormat="1" ht="17.25">
      <c r="A113" s="345"/>
      <c r="B113" s="347"/>
      <c r="C113" s="347"/>
      <c r="D113" s="347"/>
      <c r="E113" s="348"/>
      <c r="F113" s="341"/>
      <c r="G113" s="362"/>
      <c r="H113" s="352"/>
    </row>
    <row r="114" spans="1:8" s="342" customFormat="1" ht="17.25">
      <c r="A114" s="345"/>
      <c r="B114" s="347"/>
      <c r="C114" s="347"/>
      <c r="D114" s="347"/>
      <c r="E114" s="348"/>
      <c r="F114" s="341"/>
      <c r="G114" s="362"/>
      <c r="H114" s="352"/>
    </row>
    <row r="115" spans="1:8" s="342" customFormat="1" ht="17.25">
      <c r="A115" s="343"/>
      <c r="F115" s="344"/>
      <c r="G115" s="362"/>
      <c r="H115" s="352"/>
    </row>
    <row r="116" spans="1:9" s="24" customFormat="1" ht="17.25">
      <c r="A116" s="37"/>
      <c r="F116" s="340"/>
      <c r="G116" s="208"/>
      <c r="H116" s="234"/>
      <c r="I116" s="346"/>
    </row>
    <row r="117" spans="1:9" s="24" customFormat="1" ht="17.25">
      <c r="A117" s="37"/>
      <c r="F117" s="340"/>
      <c r="G117" s="208"/>
      <c r="H117" s="234"/>
      <c r="I117" s="346"/>
    </row>
    <row r="118" spans="1:9" s="24" customFormat="1" ht="17.25">
      <c r="A118" s="37"/>
      <c r="F118" s="340"/>
      <c r="G118" s="208"/>
      <c r="H118" s="234"/>
      <c r="I118" s="346"/>
    </row>
    <row r="119" spans="1:9" s="24" customFormat="1" ht="17.25">
      <c r="A119" s="37"/>
      <c r="F119" s="340"/>
      <c r="G119" s="208"/>
      <c r="H119" s="234"/>
      <c r="I119" s="346"/>
    </row>
    <row r="120" spans="1:9" s="24" customFormat="1" ht="17.25">
      <c r="A120" s="37"/>
      <c r="F120" s="340"/>
      <c r="G120" s="208"/>
      <c r="H120" s="234"/>
      <c r="I120" s="346"/>
    </row>
  </sheetData>
  <mergeCells count="15">
    <mergeCell ref="D2:F2"/>
    <mergeCell ref="D3:F3"/>
    <mergeCell ref="D1:F1"/>
    <mergeCell ref="A6:F6"/>
    <mergeCell ref="A5:F5"/>
    <mergeCell ref="A8:F8"/>
    <mergeCell ref="A67:B67"/>
    <mergeCell ref="A106:B106"/>
    <mergeCell ref="A7:F7"/>
    <mergeCell ref="D11:D12"/>
    <mergeCell ref="C11:C12"/>
    <mergeCell ref="A11:A12"/>
    <mergeCell ref="E11:E12"/>
    <mergeCell ref="F11:F12"/>
    <mergeCell ref="B11:B12"/>
  </mergeCells>
  <printOptions/>
  <pageMargins left="0.75" right="0" top="0.5" bottom="0.5" header="0.25" footer="0.25"/>
  <pageSetup horizontalDpi="600" verticalDpi="600" orientation="portrait" paperSize="9" scale="80" r:id="rId1"/>
  <headerFooter alignWithMargins="0">
    <oddFooter>&amp;C&amp;8BAÛNG CAÂN ÑOÁI KEÁ TOAÙN  QUYÙ 4 NAÊM 2007 
&amp;RTrang &amp;P/3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A1:Q297"/>
  <sheetViews>
    <sheetView workbookViewId="0" topLeftCell="A1">
      <selection activeCell="D11" sqref="D11"/>
    </sheetView>
  </sheetViews>
  <sheetFormatPr defaultColWidth="8.796875" defaultRowHeight="15"/>
  <cols>
    <col min="1" max="1" width="3.8984375" style="0" customWidth="1"/>
    <col min="2" max="2" width="42.69921875" style="0" customWidth="1"/>
    <col min="3" max="3" width="6.19921875" style="1" customWidth="1"/>
    <col min="4" max="4" width="9.69921875" style="1" customWidth="1"/>
    <col min="5" max="6" width="12.59765625" style="1" hidden="1" customWidth="1"/>
    <col min="7" max="7" width="14.09765625" style="0" hidden="1" customWidth="1"/>
    <col min="8" max="10" width="13.09765625" style="0" hidden="1" customWidth="1"/>
    <col min="11" max="11" width="13.19921875" style="0" hidden="1" customWidth="1"/>
    <col min="12" max="13" width="13.59765625" style="0" bestFit="1" customWidth="1"/>
  </cols>
  <sheetData>
    <row r="1" spans="1:6" ht="17.25">
      <c r="A1" s="19" t="s">
        <v>509</v>
      </c>
      <c r="F1" s="1" t="s">
        <v>586</v>
      </c>
    </row>
    <row r="2" spans="1:6" ht="17.25">
      <c r="A2" s="20" t="s">
        <v>512</v>
      </c>
      <c r="F2" s="1" t="s">
        <v>587</v>
      </c>
    </row>
    <row r="3" ht="17.25">
      <c r="F3" s="1" t="s">
        <v>588</v>
      </c>
    </row>
    <row r="4" spans="1:11" ht="23.25">
      <c r="A4" s="488" t="s">
        <v>494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</row>
    <row r="5" spans="1:13" ht="17.25">
      <c r="A5" s="512" t="s">
        <v>435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</row>
    <row r="6" spans="1:13" ht="17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512" t="s">
        <v>592</v>
      </c>
      <c r="M6" s="512"/>
    </row>
    <row r="7" ht="7.5" customHeight="1"/>
    <row r="8" ht="9" customHeight="1"/>
    <row r="9" spans="1:13" ht="17.25">
      <c r="A9" s="4" t="s">
        <v>485</v>
      </c>
      <c r="B9" s="4" t="s">
        <v>495</v>
      </c>
      <c r="C9" s="4" t="s">
        <v>438</v>
      </c>
      <c r="D9" s="4" t="s">
        <v>591</v>
      </c>
      <c r="E9" s="4" t="s">
        <v>507</v>
      </c>
      <c r="F9" s="4" t="s">
        <v>515</v>
      </c>
      <c r="G9" s="4" t="s">
        <v>514</v>
      </c>
      <c r="H9" s="4" t="s">
        <v>577</v>
      </c>
      <c r="I9" s="4" t="s">
        <v>576</v>
      </c>
      <c r="J9" s="4" t="s">
        <v>513</v>
      </c>
      <c r="K9" s="4" t="s">
        <v>523</v>
      </c>
      <c r="L9" s="4" t="s">
        <v>628</v>
      </c>
      <c r="M9" s="4" t="s">
        <v>629</v>
      </c>
    </row>
    <row r="10" spans="1:13" ht="17.25">
      <c r="A10" s="30"/>
      <c r="B10" s="47">
        <v>1</v>
      </c>
      <c r="C10" s="47">
        <v>2</v>
      </c>
      <c r="D10" s="47">
        <v>3</v>
      </c>
      <c r="E10" s="47"/>
      <c r="F10" s="47"/>
      <c r="G10" s="47">
        <v>4</v>
      </c>
      <c r="H10" s="47">
        <v>4</v>
      </c>
      <c r="I10" s="47">
        <v>5</v>
      </c>
      <c r="J10" s="47"/>
      <c r="K10" s="47"/>
      <c r="L10" s="47">
        <v>6</v>
      </c>
      <c r="M10" s="47">
        <v>6</v>
      </c>
    </row>
    <row r="11" spans="1:13" s="5" customFormat="1" ht="14.25">
      <c r="A11" s="9">
        <v>1</v>
      </c>
      <c r="B11" s="14" t="s">
        <v>430</v>
      </c>
      <c r="C11" s="48" t="s">
        <v>496</v>
      </c>
      <c r="D11" s="96" t="s">
        <v>527</v>
      </c>
      <c r="E11" s="49">
        <f>16640273271-7694688-5368682-103005630</f>
        <v>16524204271</v>
      </c>
      <c r="F11" s="49">
        <f>34978354748-6557986-14069231</f>
        <v>34957727531</v>
      </c>
      <c r="G11" s="49">
        <f>+F11+E11</f>
        <v>51481931802</v>
      </c>
      <c r="H11" s="49">
        <f>38188147047-9731617-85636889</f>
        <v>38092778541</v>
      </c>
      <c r="I11" s="49">
        <f>76453512366-13048151-68644903-4818182+266222449</f>
        <v>76633223579</v>
      </c>
      <c r="J11" s="49">
        <f>57479012913-23497539-93819593-781818</f>
        <v>57360913963</v>
      </c>
      <c r="K11" s="49">
        <v>56536732649</v>
      </c>
      <c r="L11" s="49">
        <f>+J11+I11+H11+G11</f>
        <v>223568847885</v>
      </c>
      <c r="M11" s="49">
        <v>169538457539</v>
      </c>
    </row>
    <row r="12" spans="1:13" s="5" customFormat="1" ht="14.25">
      <c r="A12" s="9">
        <v>2</v>
      </c>
      <c r="B12" s="9" t="s">
        <v>434</v>
      </c>
      <c r="C12" s="31" t="s">
        <v>497</v>
      </c>
      <c r="D12" s="32" t="s">
        <v>528</v>
      </c>
      <c r="E12" s="17">
        <f>74617</f>
        <v>74617</v>
      </c>
      <c r="F12" s="17">
        <f>27183104</f>
        <v>27183104</v>
      </c>
      <c r="G12" s="49">
        <f>+F12+E12</f>
        <v>27257721</v>
      </c>
      <c r="H12" s="49">
        <v>127327445</v>
      </c>
      <c r="I12" s="49">
        <v>20653027</v>
      </c>
      <c r="J12" s="49">
        <v>241711707</v>
      </c>
      <c r="K12" s="49">
        <v>1249759692</v>
      </c>
      <c r="L12" s="49">
        <f>+J12+I12+H12+G12</f>
        <v>416949900</v>
      </c>
      <c r="M12" s="49">
        <v>1260077905</v>
      </c>
    </row>
    <row r="13" spans="1:13" s="5" customFormat="1" ht="14.25">
      <c r="A13" s="9">
        <v>3</v>
      </c>
      <c r="B13" s="9" t="s">
        <v>431</v>
      </c>
      <c r="C13" s="32">
        <v>10</v>
      </c>
      <c r="D13" s="32" t="s">
        <v>529</v>
      </c>
      <c r="E13" s="10">
        <f aca="true" t="shared" si="0" ref="E13:M13">+E11-E12</f>
        <v>16524129654</v>
      </c>
      <c r="F13" s="10">
        <f t="shared" si="0"/>
        <v>34930544427</v>
      </c>
      <c r="G13" s="10">
        <f t="shared" si="0"/>
        <v>51454674081</v>
      </c>
      <c r="H13" s="10">
        <f t="shared" si="0"/>
        <v>37965451096</v>
      </c>
      <c r="I13" s="10">
        <f t="shared" si="0"/>
        <v>76612570552</v>
      </c>
      <c r="J13" s="10">
        <f t="shared" si="0"/>
        <v>57119202256</v>
      </c>
      <c r="K13" s="10">
        <f t="shared" si="0"/>
        <v>55286972957</v>
      </c>
      <c r="L13" s="10">
        <f t="shared" si="0"/>
        <v>223151897985</v>
      </c>
      <c r="M13" s="10">
        <f t="shared" si="0"/>
        <v>168278379634</v>
      </c>
    </row>
    <row r="14" spans="1:13" s="3" customFormat="1" ht="14.25">
      <c r="A14" s="16">
        <v>4</v>
      </c>
      <c r="B14" s="9" t="s">
        <v>498</v>
      </c>
      <c r="C14" s="32">
        <v>11</v>
      </c>
      <c r="D14" s="32" t="s">
        <v>530</v>
      </c>
      <c r="E14" s="17">
        <v>13669379030</v>
      </c>
      <c r="F14" s="17">
        <v>26600227590</v>
      </c>
      <c r="G14" s="49">
        <f>+F14+E14</f>
        <v>40269606620</v>
      </c>
      <c r="H14" s="83">
        <v>28283747775</v>
      </c>
      <c r="I14" s="83">
        <v>58335924593</v>
      </c>
      <c r="J14" s="49">
        <f>41427978185+(804328459-603246345)</f>
        <v>41629060299</v>
      </c>
      <c r="K14" s="49">
        <v>46180509713</v>
      </c>
      <c r="L14" s="49">
        <f>+J14+I14+H14+G14</f>
        <v>168518339287</v>
      </c>
      <c r="M14" s="49">
        <v>125424073755</v>
      </c>
    </row>
    <row r="15" spans="1:13" s="5" customFormat="1" ht="14.25">
      <c r="A15" s="9">
        <v>5</v>
      </c>
      <c r="B15" s="9" t="s">
        <v>432</v>
      </c>
      <c r="C15" s="32">
        <v>20</v>
      </c>
      <c r="D15" s="32"/>
      <c r="E15" s="17">
        <f aca="true" t="shared" si="1" ref="E15:M15">+E13-E14</f>
        <v>2854750624</v>
      </c>
      <c r="F15" s="17">
        <f t="shared" si="1"/>
        <v>8330316837</v>
      </c>
      <c r="G15" s="17">
        <f t="shared" si="1"/>
        <v>11185067461</v>
      </c>
      <c r="H15" s="17">
        <f t="shared" si="1"/>
        <v>9681703321</v>
      </c>
      <c r="I15" s="17">
        <f t="shared" si="1"/>
        <v>18276645959</v>
      </c>
      <c r="J15" s="10">
        <f t="shared" si="1"/>
        <v>15490141957</v>
      </c>
      <c r="K15" s="10">
        <f t="shared" si="1"/>
        <v>9106463244</v>
      </c>
      <c r="L15" s="10">
        <f t="shared" si="1"/>
        <v>54633558698</v>
      </c>
      <c r="M15" s="10">
        <f t="shared" si="1"/>
        <v>42854305879</v>
      </c>
    </row>
    <row r="16" spans="1:13" s="5" customFormat="1" ht="14.25">
      <c r="A16" s="9">
        <v>6</v>
      </c>
      <c r="B16" s="9" t="s">
        <v>501</v>
      </c>
      <c r="C16" s="32">
        <v>21</v>
      </c>
      <c r="D16" s="32" t="s">
        <v>531</v>
      </c>
      <c r="E16" s="17">
        <f>7694688+6182403</f>
        <v>13877091</v>
      </c>
      <c r="F16" s="17">
        <f>14069231+6557986</f>
        <v>20627217</v>
      </c>
      <c r="G16" s="49">
        <f>+F16+E16</f>
        <v>34504308</v>
      </c>
      <c r="H16" s="49">
        <f>9731617+85636889</f>
        <v>95368506</v>
      </c>
      <c r="I16" s="49">
        <f>13048151+68644903</f>
        <v>81693054</v>
      </c>
      <c r="J16" s="49">
        <f>23497539+93819593</f>
        <v>117317132</v>
      </c>
      <c r="K16" s="49">
        <v>25325698</v>
      </c>
      <c r="L16" s="49">
        <f>+J16+I16+H16+G16</f>
        <v>328883000</v>
      </c>
      <c r="M16" s="49">
        <v>375272671</v>
      </c>
    </row>
    <row r="17" spans="1:13" s="5" customFormat="1" ht="14.25">
      <c r="A17" s="9">
        <v>7</v>
      </c>
      <c r="B17" s="9" t="s">
        <v>433</v>
      </c>
      <c r="C17" s="32">
        <v>22</v>
      </c>
      <c r="D17" s="32" t="s">
        <v>532</v>
      </c>
      <c r="E17" s="17">
        <v>279446120</v>
      </c>
      <c r="F17" s="17">
        <f>559621443+14272298</f>
        <v>573893741</v>
      </c>
      <c r="G17" s="49">
        <f>+F17+E17</f>
        <v>853339861</v>
      </c>
      <c r="H17" s="49">
        <f>944267686+104760513-657156032</f>
        <v>391872167</v>
      </c>
      <c r="I17" s="49">
        <f>1459852527+140892198+895367</f>
        <v>1601640092</v>
      </c>
      <c r="J17" s="49">
        <f>1150311551+215287122</f>
        <v>1365598673</v>
      </c>
      <c r="K17" s="49">
        <v>796937169</v>
      </c>
      <c r="L17" s="49">
        <f>+J17+I17+H17+G17</f>
        <v>4212450793</v>
      </c>
      <c r="M17" s="49">
        <v>2139902339</v>
      </c>
    </row>
    <row r="18" spans="1:13" s="5" customFormat="1" ht="14.25">
      <c r="A18" s="9"/>
      <c r="B18" s="16" t="s">
        <v>502</v>
      </c>
      <c r="C18" s="33">
        <v>23</v>
      </c>
      <c r="D18" s="84"/>
      <c r="E18" s="17">
        <v>269824630</v>
      </c>
      <c r="F18" s="17">
        <f>829446073-E18</f>
        <v>559621443</v>
      </c>
      <c r="G18" s="49">
        <f>+F18+E18</f>
        <v>829446073</v>
      </c>
      <c r="H18" s="49">
        <v>944267686</v>
      </c>
      <c r="I18" s="49">
        <v>1459852527</v>
      </c>
      <c r="J18" s="49">
        <f>4380961300-G18-H18-I18</f>
        <v>1147395014</v>
      </c>
      <c r="K18" s="49">
        <v>767812520</v>
      </c>
      <c r="L18" s="49">
        <f>+J18+I18+H18+G18</f>
        <v>4380961300</v>
      </c>
      <c r="M18" s="49">
        <v>1837507188</v>
      </c>
    </row>
    <row r="19" spans="1:13" ht="17.25">
      <c r="A19" s="9">
        <v>8</v>
      </c>
      <c r="B19" s="9" t="s">
        <v>499</v>
      </c>
      <c r="C19" s="32">
        <v>24</v>
      </c>
      <c r="D19" s="97"/>
      <c r="E19" s="17">
        <f>97217362+18471789+4662070+594724960+389385705+18332290+9305640</f>
        <v>1132099816</v>
      </c>
      <c r="F19" s="17">
        <f>87273675+24842538+53631856+506497122+968563818+13110395+16218381</f>
        <v>1670137785</v>
      </c>
      <c r="G19" s="49">
        <f>+F19+E19</f>
        <v>2802237601</v>
      </c>
      <c r="H19" s="49">
        <f>348693439+58533774+61902509+1643203819+774703554+52637716+25839794</f>
        <v>2965514605</v>
      </c>
      <c r="I19" s="49">
        <f>432560595+38249138+64282147+3264756203+1663484955+79735611+62691879</f>
        <v>5605760528</v>
      </c>
      <c r="J19" s="49">
        <f>288788959+81805982+30919443+1261973527+1677093178+110181381+27789366</f>
        <v>3478551836</v>
      </c>
      <c r="K19" s="49">
        <v>3566452774</v>
      </c>
      <c r="L19" s="49">
        <f>+J19+I19+H19+G19</f>
        <v>14852064570</v>
      </c>
      <c r="M19" s="49">
        <v>10658841694</v>
      </c>
    </row>
    <row r="20" spans="1:13" ht="17.25">
      <c r="A20" s="9">
        <v>9</v>
      </c>
      <c r="B20" s="9" t="s">
        <v>500</v>
      </c>
      <c r="C20" s="32">
        <v>25</v>
      </c>
      <c r="D20" s="97"/>
      <c r="E20" s="17">
        <f>1556744024+413167000</f>
        <v>1969911024</v>
      </c>
      <c r="F20" s="17">
        <v>2813118672</v>
      </c>
      <c r="G20" s="49">
        <f>+F20+E20</f>
        <v>4783029696</v>
      </c>
      <c r="H20" s="49">
        <v>5487964648</v>
      </c>
      <c r="I20" s="49">
        <v>5344854737</v>
      </c>
      <c r="J20" s="49">
        <f>8386034382+603246345-804328459</f>
        <v>8184952268</v>
      </c>
      <c r="K20" s="49">
        <v>4201579747</v>
      </c>
      <c r="L20" s="49">
        <f>+J20+I20+H20+G20</f>
        <v>23800801349</v>
      </c>
      <c r="M20" s="49">
        <v>18680274886</v>
      </c>
    </row>
    <row r="21" spans="1:13" s="5" customFormat="1" ht="14.25">
      <c r="A21" s="9">
        <v>10</v>
      </c>
      <c r="B21" s="50" t="s">
        <v>503</v>
      </c>
      <c r="C21" s="32">
        <v>30</v>
      </c>
      <c r="D21" s="97"/>
      <c r="E21" s="10">
        <f aca="true" t="shared" si="2" ref="E21:M21">+E15+E16-E17-E20-E19</f>
        <v>-512829245</v>
      </c>
      <c r="F21" s="10">
        <f t="shared" si="2"/>
        <v>3293793856</v>
      </c>
      <c r="G21" s="10">
        <f t="shared" si="2"/>
        <v>2780964611</v>
      </c>
      <c r="H21" s="10">
        <f t="shared" si="2"/>
        <v>931720407</v>
      </c>
      <c r="I21" s="10">
        <f t="shared" si="2"/>
        <v>5806083656</v>
      </c>
      <c r="J21" s="10">
        <f t="shared" si="2"/>
        <v>2578356312</v>
      </c>
      <c r="K21" s="10">
        <f t="shared" si="2"/>
        <v>566819252</v>
      </c>
      <c r="L21" s="10">
        <f t="shared" si="2"/>
        <v>12097124986</v>
      </c>
      <c r="M21" s="10">
        <f t="shared" si="2"/>
        <v>11750559631</v>
      </c>
    </row>
    <row r="22" spans="1:13" ht="17.25">
      <c r="A22" s="9">
        <v>11</v>
      </c>
      <c r="B22" s="9" t="s">
        <v>504</v>
      </c>
      <c r="C22" s="32">
        <v>31</v>
      </c>
      <c r="D22" s="32"/>
      <c r="E22" s="17"/>
      <c r="F22" s="17"/>
      <c r="G22" s="49">
        <f>+F22+E22</f>
        <v>0</v>
      </c>
      <c r="H22" s="49"/>
      <c r="I22" s="49">
        <v>4818182</v>
      </c>
      <c r="J22" s="49">
        <v>781818</v>
      </c>
      <c r="K22" s="49">
        <v>107818182</v>
      </c>
      <c r="L22" s="49">
        <f>+J22+I22+H22+G22</f>
        <v>5600000</v>
      </c>
      <c r="M22" s="49">
        <v>107819942</v>
      </c>
    </row>
    <row r="23" spans="1:13" ht="17.25">
      <c r="A23" s="9">
        <v>12</v>
      </c>
      <c r="B23" s="9" t="s">
        <v>505</v>
      </c>
      <c r="C23" s="32">
        <v>32</v>
      </c>
      <c r="D23" s="32"/>
      <c r="E23" s="17"/>
      <c r="F23" s="17"/>
      <c r="G23" s="49">
        <f>+F23+E23</f>
        <v>0</v>
      </c>
      <c r="H23" s="49"/>
      <c r="I23" s="49"/>
      <c r="J23" s="49">
        <v>6803651</v>
      </c>
      <c r="K23" s="49">
        <v>11457620</v>
      </c>
      <c r="L23" s="49">
        <f>+J23+I23+H23+G23</f>
        <v>6803651</v>
      </c>
      <c r="M23" s="49">
        <v>11457620</v>
      </c>
    </row>
    <row r="24" spans="1:13" ht="17.25">
      <c r="A24" s="9">
        <v>13</v>
      </c>
      <c r="B24" s="9" t="s">
        <v>506</v>
      </c>
      <c r="C24" s="33">
        <v>40</v>
      </c>
      <c r="D24" s="33"/>
      <c r="E24" s="10">
        <f>+E22-E23</f>
        <v>0</v>
      </c>
      <c r="F24" s="10">
        <f>+F22-F23</f>
        <v>0</v>
      </c>
      <c r="G24" s="49">
        <f>+F24+E24</f>
        <v>0</v>
      </c>
      <c r="H24" s="10">
        <f aca="true" t="shared" si="3" ref="H24:M24">+H22-H23</f>
        <v>0</v>
      </c>
      <c r="I24" s="10">
        <f t="shared" si="3"/>
        <v>4818182</v>
      </c>
      <c r="J24" s="10">
        <f t="shared" si="3"/>
        <v>-6021833</v>
      </c>
      <c r="K24" s="10">
        <f t="shared" si="3"/>
        <v>96360562</v>
      </c>
      <c r="L24" s="10">
        <f t="shared" si="3"/>
        <v>-1203651</v>
      </c>
      <c r="M24" s="10">
        <f t="shared" si="3"/>
        <v>96362322</v>
      </c>
    </row>
    <row r="25" spans="1:13" s="21" customFormat="1" ht="14.25">
      <c r="A25" s="87">
        <v>14</v>
      </c>
      <c r="B25" s="87" t="s">
        <v>516</v>
      </c>
      <c r="C25" s="85">
        <v>50</v>
      </c>
      <c r="D25" s="85"/>
      <c r="E25" s="54">
        <f>+E24+E21</f>
        <v>-512829245</v>
      </c>
      <c r="F25" s="54">
        <f>+F24+F21</f>
        <v>3293793856</v>
      </c>
      <c r="G25" s="88">
        <f>+F25+E25</f>
        <v>2780964611</v>
      </c>
      <c r="H25" s="54">
        <f aca="true" t="shared" si="4" ref="H25:M25">+H24+H21</f>
        <v>931720407</v>
      </c>
      <c r="I25" s="54">
        <f t="shared" si="4"/>
        <v>5810901838</v>
      </c>
      <c r="J25" s="54">
        <f t="shared" si="4"/>
        <v>2572334479</v>
      </c>
      <c r="K25" s="54">
        <f t="shared" si="4"/>
        <v>663179814</v>
      </c>
      <c r="L25" s="54">
        <f t="shared" si="4"/>
        <v>12095921335</v>
      </c>
      <c r="M25" s="54">
        <f t="shared" si="4"/>
        <v>11846921953</v>
      </c>
    </row>
    <row r="26" spans="1:13" s="21" customFormat="1" ht="14.25">
      <c r="A26" s="87"/>
      <c r="B26" s="95" t="s">
        <v>578</v>
      </c>
      <c r="C26" s="85"/>
      <c r="D26" s="85"/>
      <c r="E26" s="54"/>
      <c r="F26" s="18">
        <v>91208978</v>
      </c>
      <c r="G26" s="83">
        <f>+F26+E26</f>
        <v>91208978</v>
      </c>
      <c r="H26" s="18">
        <f>26819998+41686997+37004998+28459992+18899992+50493994-G26+22500000</f>
        <v>134656993</v>
      </c>
      <c r="I26" s="83">
        <f>48587975+57889988+17002200</f>
        <v>123480163</v>
      </c>
      <c r="J26" s="49">
        <f>41769992+28984997+17002200</f>
        <v>87757189</v>
      </c>
      <c r="K26" s="49">
        <v>382604400</v>
      </c>
      <c r="L26" s="49">
        <f>+J26+I26+H26+G26</f>
        <v>437103323</v>
      </c>
      <c r="M26" s="49">
        <v>382604400</v>
      </c>
    </row>
    <row r="27" spans="1:13" s="21" customFormat="1" ht="14.25">
      <c r="A27" s="87"/>
      <c r="B27" s="55" t="s">
        <v>524</v>
      </c>
      <c r="C27" s="85"/>
      <c r="D27" s="85"/>
      <c r="E27" s="54"/>
      <c r="F27" s="18"/>
      <c r="G27" s="83"/>
      <c r="H27" s="18"/>
      <c r="I27" s="83"/>
      <c r="J27" s="49"/>
      <c r="K27" s="49">
        <v>120425283</v>
      </c>
      <c r="L27" s="49"/>
      <c r="M27" s="49">
        <v>120425283</v>
      </c>
    </row>
    <row r="28" spans="1:13" s="21" customFormat="1" ht="14.25">
      <c r="A28" s="87"/>
      <c r="B28" s="95" t="s">
        <v>539</v>
      </c>
      <c r="C28" s="17"/>
      <c r="D28" s="85"/>
      <c r="E28" s="54"/>
      <c r="F28" s="54"/>
      <c r="G28" s="17"/>
      <c r="H28" s="17"/>
      <c r="I28" s="17"/>
      <c r="J28" s="49">
        <v>639084598</v>
      </c>
      <c r="K28" s="49"/>
      <c r="L28" s="49">
        <f>+J28+I28+H28+G28</f>
        <v>639084598</v>
      </c>
      <c r="M28" s="49"/>
    </row>
    <row r="29" spans="1:13" s="21" customFormat="1" ht="14.25">
      <c r="A29" s="87"/>
      <c r="B29" s="95" t="s">
        <v>579</v>
      </c>
      <c r="C29" s="17"/>
      <c r="D29" s="85"/>
      <c r="E29" s="54"/>
      <c r="F29" s="54"/>
      <c r="G29" s="17">
        <f>+G26+G25</f>
        <v>2872173589</v>
      </c>
      <c r="H29" s="17">
        <f>+H26+H25</f>
        <v>1066377400</v>
      </c>
      <c r="I29" s="17">
        <f>+I26+I25</f>
        <v>5934382001</v>
      </c>
      <c r="J29" s="49">
        <f>+J26+J25-J28+J27</f>
        <v>2021007070</v>
      </c>
      <c r="K29" s="49">
        <f>+K25+K26+K27</f>
        <v>1166209497</v>
      </c>
      <c r="L29" s="49">
        <f>+J29+I29+H29+G29</f>
        <v>11893940060</v>
      </c>
      <c r="M29" s="49">
        <f>+M25+M26+M27</f>
        <v>12349951636</v>
      </c>
    </row>
    <row r="30" spans="1:13" ht="17.25">
      <c r="A30" s="9">
        <v>15</v>
      </c>
      <c r="B30" s="9" t="s">
        <v>517</v>
      </c>
      <c r="C30" s="33">
        <v>51</v>
      </c>
      <c r="D30" s="33" t="s">
        <v>533</v>
      </c>
      <c r="E30" s="17"/>
      <c r="F30" s="17">
        <f>+G30</f>
        <v>574434718</v>
      </c>
      <c r="G30" s="17">
        <f>+ROUND(G29*20%,0)</f>
        <v>574434718</v>
      </c>
      <c r="H30" s="17">
        <f>+ROUND(H29*20%,0)</f>
        <v>213275480</v>
      </c>
      <c r="I30" s="17">
        <f>+ROUND(I29*20%,0)</f>
        <v>1186876400</v>
      </c>
      <c r="J30" s="10">
        <f>+ROUND(J29*20%,0)</f>
        <v>404201414</v>
      </c>
      <c r="K30" s="10">
        <f>+ROUND(K29*28%,0)</f>
        <v>326538659</v>
      </c>
      <c r="L30" s="10">
        <f>+ROUND(L29*20%,0)</f>
        <v>2378788012</v>
      </c>
      <c r="M30" s="10">
        <f>+ROUND(M29*28%,0)</f>
        <v>3457986458</v>
      </c>
    </row>
    <row r="31" spans="1:13" ht="17.25">
      <c r="A31" s="9">
        <v>16</v>
      </c>
      <c r="B31" s="9" t="s">
        <v>522</v>
      </c>
      <c r="C31" s="33">
        <v>52</v>
      </c>
      <c r="D31" s="33"/>
      <c r="E31" s="17"/>
      <c r="F31" s="17"/>
      <c r="G31" s="17"/>
      <c r="H31" s="49"/>
      <c r="I31" s="49"/>
      <c r="J31" s="49"/>
      <c r="K31" s="49"/>
      <c r="L31" s="49">
        <f>+J31+I31+H31+G31</f>
        <v>0</v>
      </c>
      <c r="M31" s="49">
        <f>+K31+J31+I31+H31</f>
        <v>0</v>
      </c>
    </row>
    <row r="32" spans="1:13" ht="17.25">
      <c r="A32" s="9">
        <v>17</v>
      </c>
      <c r="B32" s="9" t="s">
        <v>518</v>
      </c>
      <c r="C32" s="33">
        <v>60</v>
      </c>
      <c r="D32" s="33"/>
      <c r="E32" s="17">
        <f aca="true" t="shared" si="5" ref="E32:M32">+E25-E30-E31</f>
        <v>-512829245</v>
      </c>
      <c r="F32" s="17">
        <f t="shared" si="5"/>
        <v>2719359138</v>
      </c>
      <c r="G32" s="17">
        <f t="shared" si="5"/>
        <v>2206529893</v>
      </c>
      <c r="H32" s="17">
        <f t="shared" si="5"/>
        <v>718444927</v>
      </c>
      <c r="I32" s="17">
        <f t="shared" si="5"/>
        <v>4624025438</v>
      </c>
      <c r="J32" s="10">
        <f t="shared" si="5"/>
        <v>2168133065</v>
      </c>
      <c r="K32" s="10">
        <f t="shared" si="5"/>
        <v>336641155</v>
      </c>
      <c r="L32" s="10">
        <f t="shared" si="5"/>
        <v>9717133323</v>
      </c>
      <c r="M32" s="10">
        <f t="shared" si="5"/>
        <v>8388935495</v>
      </c>
    </row>
    <row r="33" spans="1:13" s="5" customFormat="1" ht="14.25">
      <c r="A33" s="9">
        <v>18</v>
      </c>
      <c r="B33" s="9" t="s">
        <v>519</v>
      </c>
      <c r="C33" s="33">
        <v>70</v>
      </c>
      <c r="D33" s="32"/>
      <c r="E33" s="10"/>
      <c r="F33" s="10"/>
      <c r="G33" s="22"/>
      <c r="H33" s="10"/>
      <c r="I33" s="10"/>
      <c r="J33" s="49"/>
      <c r="K33" s="49"/>
      <c r="L33" s="49">
        <v>4041</v>
      </c>
      <c r="M33" s="49">
        <v>3736</v>
      </c>
    </row>
    <row r="34" spans="1:13" s="5" customFormat="1" ht="14.25" hidden="1">
      <c r="A34" s="9"/>
      <c r="B34" s="9" t="s">
        <v>526</v>
      </c>
      <c r="C34" s="33"/>
      <c r="D34" s="32"/>
      <c r="E34" s="10"/>
      <c r="F34" s="10"/>
      <c r="G34" s="22"/>
      <c r="H34" s="10"/>
      <c r="I34" s="10"/>
      <c r="J34" s="49"/>
      <c r="K34" s="49"/>
      <c r="L34" s="49">
        <v>1800</v>
      </c>
      <c r="M34" s="49">
        <v>1800</v>
      </c>
    </row>
    <row r="35" spans="1:13" ht="17.25">
      <c r="A35" s="9">
        <v>19</v>
      </c>
      <c r="B35" s="9" t="s">
        <v>520</v>
      </c>
      <c r="C35" s="29"/>
      <c r="D35" s="29"/>
      <c r="E35" s="17"/>
      <c r="F35" s="17"/>
      <c r="G35" s="98">
        <f>+G30/2</f>
        <v>287217359</v>
      </c>
      <c r="H35" s="17">
        <f>+H30/2</f>
        <v>106637740</v>
      </c>
      <c r="I35" s="17">
        <f>ROUND(I30/2,0)</f>
        <v>593438200</v>
      </c>
      <c r="J35" s="17">
        <f>ROUND(J30/2,0)</f>
        <v>202100707</v>
      </c>
      <c r="K35" s="17">
        <f>+K32</f>
        <v>336641155</v>
      </c>
      <c r="L35" s="17">
        <f>+J35+I35+H35+G35</f>
        <v>1189394006</v>
      </c>
      <c r="M35" s="17">
        <f>+M30</f>
        <v>3457986458</v>
      </c>
    </row>
    <row r="36" spans="1:13" ht="17.25">
      <c r="A36" s="9">
        <v>20</v>
      </c>
      <c r="B36" s="9" t="s">
        <v>521</v>
      </c>
      <c r="C36" s="29"/>
      <c r="D36" s="29"/>
      <c r="E36" s="29"/>
      <c r="F36" s="29"/>
      <c r="G36" s="17">
        <f>+G30-G31-G35</f>
        <v>287217359</v>
      </c>
      <c r="H36" s="17">
        <f>+H30-H31-H35</f>
        <v>106637740</v>
      </c>
      <c r="I36" s="17">
        <f>+I30-I31-I35</f>
        <v>593438200</v>
      </c>
      <c r="J36" s="17">
        <f>+J30-J31-J35</f>
        <v>202100707</v>
      </c>
      <c r="K36" s="17"/>
      <c r="L36" s="17">
        <f>+L30-L31-L35</f>
        <v>1189394006</v>
      </c>
      <c r="M36" s="17"/>
    </row>
    <row r="37" spans="1:13" ht="17.25">
      <c r="A37" s="51"/>
      <c r="B37" s="11"/>
      <c r="C37" s="52"/>
      <c r="D37" s="52"/>
      <c r="E37" s="52"/>
      <c r="F37" s="52"/>
      <c r="G37" s="12"/>
      <c r="H37" s="12"/>
      <c r="I37" s="12"/>
      <c r="J37" s="12"/>
      <c r="K37" s="12"/>
      <c r="L37" s="12"/>
      <c r="M37" s="12"/>
    </row>
    <row r="38" spans="7:11" ht="17.25">
      <c r="G38" s="2"/>
      <c r="K38" s="26"/>
    </row>
    <row r="39" spans="1:17" ht="17.25">
      <c r="A39" s="3"/>
      <c r="C39" s="15"/>
      <c r="K39" s="1"/>
      <c r="L39" s="86" t="s">
        <v>525</v>
      </c>
      <c r="M39" s="99"/>
      <c r="N39" s="99"/>
      <c r="O39" s="99"/>
      <c r="P39" s="99"/>
      <c r="Q39" s="99"/>
    </row>
    <row r="40" spans="1:17" ht="17.25">
      <c r="A40" s="3"/>
      <c r="B40" s="5" t="s">
        <v>583</v>
      </c>
      <c r="C40" s="15"/>
      <c r="K40" s="7"/>
      <c r="L40" s="7" t="s">
        <v>580</v>
      </c>
      <c r="M40" s="7"/>
      <c r="O40" s="7"/>
      <c r="P40" s="7"/>
      <c r="Q40" s="7"/>
    </row>
    <row r="41" spans="1:17" ht="17.25">
      <c r="A41" s="3"/>
      <c r="B41" s="6" t="s">
        <v>584</v>
      </c>
      <c r="C41" s="15"/>
      <c r="K41" s="53"/>
      <c r="L41" s="89" t="s">
        <v>492</v>
      </c>
      <c r="M41" s="53"/>
      <c r="O41" s="89"/>
      <c r="P41" s="89"/>
      <c r="Q41" s="89"/>
    </row>
    <row r="42" spans="1:11" ht="17.25">
      <c r="A42" s="3"/>
      <c r="B42" s="6"/>
      <c r="C42" s="15"/>
      <c r="H42" s="53"/>
      <c r="I42" s="53"/>
      <c r="J42" s="53"/>
      <c r="K42" s="53"/>
    </row>
    <row r="43" spans="1:11" ht="17.25">
      <c r="A43" s="3"/>
      <c r="B43" s="6"/>
      <c r="C43" s="15"/>
      <c r="H43" s="53"/>
      <c r="I43" s="53"/>
      <c r="J43" s="53"/>
      <c r="K43" s="53"/>
    </row>
    <row r="44" spans="1:11" ht="17.25">
      <c r="A44" s="3"/>
      <c r="B44" s="6"/>
      <c r="C44" s="15"/>
      <c r="H44" s="53"/>
      <c r="I44" s="53"/>
      <c r="J44" s="53"/>
      <c r="K44" s="53"/>
    </row>
    <row r="45" spans="1:11" ht="17.25">
      <c r="A45" s="3"/>
      <c r="C45" s="15"/>
      <c r="H45" s="3"/>
      <c r="I45" s="3"/>
      <c r="J45" s="3"/>
      <c r="K45" s="3"/>
    </row>
    <row r="46" spans="1:11" ht="17.25">
      <c r="A46" s="3"/>
      <c r="B46" s="3"/>
      <c r="C46" s="15"/>
      <c r="H46" s="3"/>
      <c r="I46" s="3"/>
      <c r="J46" s="3"/>
      <c r="K46" s="3"/>
    </row>
    <row r="47" spans="1:11" ht="17.25">
      <c r="A47" s="3"/>
      <c r="B47" s="3"/>
      <c r="C47" s="15"/>
      <c r="H47" s="3"/>
      <c r="I47" s="3"/>
      <c r="J47" s="3"/>
      <c r="K47" s="3"/>
    </row>
    <row r="48" spans="1:11" ht="17.25">
      <c r="A48" s="3"/>
      <c r="B48" s="3"/>
      <c r="C48" s="15"/>
      <c r="H48" s="3"/>
      <c r="I48" s="3"/>
      <c r="J48" s="3"/>
      <c r="K48" s="3"/>
    </row>
    <row r="49" spans="1:14" ht="17.25">
      <c r="A49" s="3"/>
      <c r="B49" s="5" t="s">
        <v>585</v>
      </c>
      <c r="C49" s="7"/>
      <c r="D49" s="46"/>
      <c r="E49" s="489"/>
      <c r="F49" s="489"/>
      <c r="G49" s="489"/>
      <c r="L49" s="7" t="s">
        <v>581</v>
      </c>
      <c r="M49" s="7"/>
      <c r="N49" s="7"/>
    </row>
    <row r="50" spans="1:11" ht="17.25">
      <c r="A50" s="8"/>
      <c r="B50" s="8"/>
      <c r="C50" s="13"/>
      <c r="D50" s="13"/>
      <c r="E50" s="13"/>
      <c r="F50" s="13"/>
      <c r="G50" s="8"/>
      <c r="H50" s="8"/>
      <c r="I50" s="8"/>
      <c r="J50" s="8"/>
      <c r="K50" s="8"/>
    </row>
    <row r="51" spans="1:11" ht="17.25">
      <c r="A51" s="8"/>
      <c r="B51" s="8"/>
      <c r="C51" s="13"/>
      <c r="D51" s="13"/>
      <c r="E51" s="13"/>
      <c r="F51" s="13"/>
      <c r="G51" s="8"/>
      <c r="H51" s="8"/>
      <c r="I51" s="8"/>
      <c r="J51" s="8"/>
      <c r="K51" s="8"/>
    </row>
    <row r="52" spans="1:11" ht="17.25">
      <c r="A52" s="8"/>
      <c r="B52" s="8"/>
      <c r="C52" s="13"/>
      <c r="D52" s="13"/>
      <c r="E52" s="13"/>
      <c r="F52" s="13"/>
      <c r="G52" s="8"/>
      <c r="H52" s="8"/>
      <c r="I52" s="8"/>
      <c r="J52" s="8"/>
      <c r="K52" s="8"/>
    </row>
    <row r="53" spans="1:11" ht="17.25">
      <c r="A53" s="8"/>
      <c r="B53" s="8"/>
      <c r="C53" s="13"/>
      <c r="D53" s="13"/>
      <c r="E53" s="13"/>
      <c r="F53" s="13"/>
      <c r="G53" s="8"/>
      <c r="H53" s="8"/>
      <c r="I53" s="8"/>
      <c r="J53" s="8"/>
      <c r="K53" s="8"/>
    </row>
    <row r="54" spans="1:11" ht="17.25">
      <c r="A54" s="8"/>
      <c r="B54" s="8"/>
      <c r="C54" s="13"/>
      <c r="D54" s="13"/>
      <c r="E54" s="13"/>
      <c r="F54" s="13"/>
      <c r="G54" s="8"/>
      <c r="H54" s="8"/>
      <c r="I54" s="8"/>
      <c r="J54" s="8"/>
      <c r="K54" s="8"/>
    </row>
    <row r="55" spans="1:11" ht="17.25">
      <c r="A55" s="8"/>
      <c r="B55" s="8"/>
      <c r="C55" s="13"/>
      <c r="D55" s="13"/>
      <c r="E55" s="13"/>
      <c r="F55" s="13"/>
      <c r="G55" s="8"/>
      <c r="H55" s="8"/>
      <c r="I55" s="8"/>
      <c r="J55" s="8"/>
      <c r="K55" s="8"/>
    </row>
    <row r="56" spans="3:6" s="8" customFormat="1" ht="17.25">
      <c r="C56" s="13"/>
      <c r="D56" s="13"/>
      <c r="E56" s="13"/>
      <c r="F56" s="13"/>
    </row>
    <row r="57" spans="3:6" s="8" customFormat="1" ht="17.25">
      <c r="C57" s="13"/>
      <c r="D57" s="13"/>
      <c r="E57" s="13"/>
      <c r="F57" s="13"/>
    </row>
    <row r="58" spans="3:6" s="8" customFormat="1" ht="17.25">
      <c r="C58" s="13"/>
      <c r="D58" s="13"/>
      <c r="E58" s="13"/>
      <c r="F58" s="13"/>
    </row>
    <row r="59" spans="3:6" s="8" customFormat="1" ht="17.25">
      <c r="C59" s="13"/>
      <c r="D59" s="13"/>
      <c r="E59" s="13"/>
      <c r="F59" s="13"/>
    </row>
    <row r="60" spans="3:6" s="8" customFormat="1" ht="17.25">
      <c r="C60" s="13"/>
      <c r="D60" s="13"/>
      <c r="E60" s="13"/>
      <c r="F60" s="13"/>
    </row>
    <row r="61" spans="3:6" s="8" customFormat="1" ht="17.25">
      <c r="C61" s="13"/>
      <c r="D61" s="13"/>
      <c r="E61" s="13"/>
      <c r="F61" s="13"/>
    </row>
    <row r="62" spans="3:6" s="8" customFormat="1" ht="17.25">
      <c r="C62" s="13"/>
      <c r="D62" s="13"/>
      <c r="E62" s="13"/>
      <c r="F62" s="13"/>
    </row>
    <row r="63" spans="3:6" s="8" customFormat="1" ht="17.25">
      <c r="C63" s="13"/>
      <c r="D63" s="13"/>
      <c r="E63" s="13"/>
      <c r="F63" s="13"/>
    </row>
    <row r="64" spans="3:6" s="8" customFormat="1" ht="17.25">
      <c r="C64" s="13"/>
      <c r="D64" s="13"/>
      <c r="E64" s="13"/>
      <c r="F64" s="13"/>
    </row>
    <row r="65" spans="3:6" s="8" customFormat="1" ht="17.25">
      <c r="C65" s="13"/>
      <c r="D65" s="13"/>
      <c r="E65" s="13"/>
      <c r="F65" s="13"/>
    </row>
    <row r="66" spans="3:6" s="8" customFormat="1" ht="17.25">
      <c r="C66" s="13"/>
      <c r="D66" s="13"/>
      <c r="E66" s="13"/>
      <c r="F66" s="13"/>
    </row>
    <row r="67" spans="3:6" s="8" customFormat="1" ht="17.25">
      <c r="C67" s="13"/>
      <c r="D67" s="13"/>
      <c r="E67" s="13"/>
      <c r="F67" s="13"/>
    </row>
    <row r="68" spans="3:6" s="8" customFormat="1" ht="17.25">
      <c r="C68" s="13"/>
      <c r="D68" s="13"/>
      <c r="E68" s="13"/>
      <c r="F68" s="13"/>
    </row>
    <row r="69" spans="3:6" s="8" customFormat="1" ht="17.25">
      <c r="C69" s="13"/>
      <c r="D69" s="13"/>
      <c r="E69" s="13"/>
      <c r="F69" s="13"/>
    </row>
    <row r="70" spans="3:6" s="8" customFormat="1" ht="17.25">
      <c r="C70" s="13"/>
      <c r="D70" s="13"/>
      <c r="E70" s="13"/>
      <c r="F70" s="13"/>
    </row>
    <row r="71" spans="3:6" s="8" customFormat="1" ht="17.25">
      <c r="C71" s="13"/>
      <c r="D71" s="13"/>
      <c r="E71" s="13"/>
      <c r="F71" s="13"/>
    </row>
    <row r="72" spans="3:6" s="8" customFormat="1" ht="17.25">
      <c r="C72" s="13"/>
      <c r="D72" s="13"/>
      <c r="E72" s="13"/>
      <c r="F72" s="13"/>
    </row>
    <row r="73" spans="3:6" s="8" customFormat="1" ht="17.25">
      <c r="C73" s="13"/>
      <c r="D73" s="13"/>
      <c r="E73" s="13"/>
      <c r="F73" s="13"/>
    </row>
    <row r="74" spans="3:6" s="8" customFormat="1" ht="17.25">
      <c r="C74" s="13"/>
      <c r="D74" s="13"/>
      <c r="E74" s="13"/>
      <c r="F74" s="13"/>
    </row>
    <row r="75" spans="3:6" s="8" customFormat="1" ht="17.25">
      <c r="C75" s="13"/>
      <c r="D75" s="13"/>
      <c r="E75" s="13"/>
      <c r="F75" s="13"/>
    </row>
    <row r="76" spans="3:6" s="8" customFormat="1" ht="17.25">
      <c r="C76" s="13"/>
      <c r="D76" s="13"/>
      <c r="E76" s="13"/>
      <c r="F76" s="13"/>
    </row>
    <row r="77" spans="3:6" s="8" customFormat="1" ht="17.25">
      <c r="C77" s="13"/>
      <c r="D77" s="13"/>
      <c r="E77" s="13"/>
      <c r="F77" s="13"/>
    </row>
    <row r="78" spans="1:11" ht="17.25">
      <c r="A78" s="8"/>
      <c r="B78" s="8"/>
      <c r="C78" s="13"/>
      <c r="D78" s="13"/>
      <c r="E78" s="13"/>
      <c r="F78" s="13"/>
      <c r="G78" s="8"/>
      <c r="H78" s="8"/>
      <c r="I78" s="8"/>
      <c r="J78" s="8"/>
      <c r="K78" s="8"/>
    </row>
    <row r="79" spans="1:11" ht="17.25">
      <c r="A79" s="8"/>
      <c r="B79" s="8"/>
      <c r="C79" s="13"/>
      <c r="D79" s="13"/>
      <c r="E79" s="13"/>
      <c r="F79" s="13"/>
      <c r="G79" s="8"/>
      <c r="H79" s="8"/>
      <c r="I79" s="8"/>
      <c r="J79" s="8"/>
      <c r="K79" s="8"/>
    </row>
    <row r="80" spans="1:11" ht="17.25">
      <c r="A80" s="8"/>
      <c r="B80" s="8"/>
      <c r="C80" s="13"/>
      <c r="D80" s="13"/>
      <c r="E80" s="13"/>
      <c r="F80" s="13"/>
      <c r="G80" s="8"/>
      <c r="H80" s="8"/>
      <c r="I80" s="8"/>
      <c r="J80" s="8"/>
      <c r="K80" s="8"/>
    </row>
    <row r="81" spans="1:11" ht="17.25">
      <c r="A81" s="8"/>
      <c r="B81" s="8"/>
      <c r="C81" s="13"/>
      <c r="D81" s="13"/>
      <c r="E81" s="13"/>
      <c r="F81" s="13"/>
      <c r="G81" s="8"/>
      <c r="H81" s="8"/>
      <c r="I81" s="8"/>
      <c r="J81" s="8"/>
      <c r="K81" s="8"/>
    </row>
    <row r="82" spans="1:11" ht="17.25">
      <c r="A82" s="8"/>
      <c r="B82" s="8"/>
      <c r="C82" s="13"/>
      <c r="D82" s="13"/>
      <c r="E82" s="13"/>
      <c r="F82" s="13"/>
      <c r="G82" s="8"/>
      <c r="H82" s="8"/>
      <c r="I82" s="8"/>
      <c r="J82" s="8"/>
      <c r="K82" s="8"/>
    </row>
    <row r="83" spans="1:11" ht="17.25">
      <c r="A83" s="8"/>
      <c r="B83" s="8"/>
      <c r="C83" s="13"/>
      <c r="D83" s="13"/>
      <c r="E83" s="13"/>
      <c r="F83" s="13"/>
      <c r="G83" s="8"/>
      <c r="H83" s="8"/>
      <c r="I83" s="8"/>
      <c r="J83" s="8"/>
      <c r="K83" s="8"/>
    </row>
    <row r="84" spans="1:11" ht="17.25">
      <c r="A84" s="8"/>
      <c r="B84" s="8"/>
      <c r="C84" s="13"/>
      <c r="D84" s="13"/>
      <c r="E84" s="13"/>
      <c r="F84" s="13"/>
      <c r="G84" s="8"/>
      <c r="H84" s="8"/>
      <c r="I84" s="8"/>
      <c r="J84" s="8"/>
      <c r="K84" s="8"/>
    </row>
    <row r="85" spans="1:11" ht="17.25">
      <c r="A85" s="8"/>
      <c r="B85" s="8"/>
      <c r="C85" s="13"/>
      <c r="D85" s="13"/>
      <c r="E85" s="13"/>
      <c r="F85" s="13"/>
      <c r="G85" s="8"/>
      <c r="H85" s="8"/>
      <c r="I85" s="8"/>
      <c r="J85" s="8"/>
      <c r="K85" s="8"/>
    </row>
    <row r="86" spans="1:11" ht="17.25">
      <c r="A86" s="8"/>
      <c r="B86" s="8"/>
      <c r="C86" s="13"/>
      <c r="D86" s="13"/>
      <c r="E86" s="13"/>
      <c r="F86" s="13"/>
      <c r="G86" s="8"/>
      <c r="H86" s="8"/>
      <c r="I86" s="8"/>
      <c r="J86" s="8"/>
      <c r="K86" s="8"/>
    </row>
    <row r="87" spans="1:11" ht="17.25">
      <c r="A87" s="8"/>
      <c r="B87" s="8"/>
      <c r="C87" s="13"/>
      <c r="D87" s="13"/>
      <c r="E87" s="13"/>
      <c r="F87" s="13"/>
      <c r="G87" s="8"/>
      <c r="H87" s="8"/>
      <c r="I87" s="8"/>
      <c r="J87" s="8"/>
      <c r="K87" s="8"/>
    </row>
    <row r="88" spans="1:11" ht="17.25">
      <c r="A88" s="8"/>
      <c r="B88" s="8"/>
      <c r="C88" s="13"/>
      <c r="D88" s="13"/>
      <c r="E88" s="13"/>
      <c r="F88" s="13"/>
      <c r="G88" s="8"/>
      <c r="H88" s="8"/>
      <c r="I88" s="8"/>
      <c r="J88" s="8"/>
      <c r="K88" s="8"/>
    </row>
    <row r="89" spans="1:11" ht="17.25">
      <c r="A89" s="8"/>
      <c r="B89" s="8"/>
      <c r="C89" s="13"/>
      <c r="D89" s="13"/>
      <c r="E89" s="13"/>
      <c r="F89" s="13"/>
      <c r="G89" s="8"/>
      <c r="H89" s="8"/>
      <c r="I89" s="8"/>
      <c r="J89" s="8"/>
      <c r="K89" s="8"/>
    </row>
    <row r="90" spans="1:11" ht="17.25">
      <c r="A90" s="8"/>
      <c r="B90" s="8"/>
      <c r="C90" s="13"/>
      <c r="D90" s="13"/>
      <c r="E90" s="13"/>
      <c r="F90" s="13"/>
      <c r="G90" s="8"/>
      <c r="H90" s="8"/>
      <c r="I90" s="8"/>
      <c r="J90" s="8"/>
      <c r="K90" s="8"/>
    </row>
    <row r="91" spans="1:11" ht="17.25">
      <c r="A91" s="8"/>
      <c r="B91" s="8"/>
      <c r="C91" s="13"/>
      <c r="D91" s="13"/>
      <c r="E91" s="13"/>
      <c r="F91" s="13"/>
      <c r="G91" s="8"/>
      <c r="H91" s="8"/>
      <c r="I91" s="8"/>
      <c r="J91" s="8"/>
      <c r="K91" s="8"/>
    </row>
    <row r="92" spans="1:11" ht="17.25">
      <c r="A92" s="8"/>
      <c r="B92" s="8"/>
      <c r="C92" s="13"/>
      <c r="D92" s="13"/>
      <c r="E92" s="13"/>
      <c r="F92" s="13"/>
      <c r="G92" s="8"/>
      <c r="H92" s="8"/>
      <c r="I92" s="8"/>
      <c r="J92" s="8"/>
      <c r="K92" s="8"/>
    </row>
    <row r="93" spans="1:11" ht="17.25">
      <c r="A93" s="8"/>
      <c r="B93" s="8"/>
      <c r="C93" s="13"/>
      <c r="D93" s="13"/>
      <c r="E93" s="13"/>
      <c r="F93" s="13"/>
      <c r="G93" s="8"/>
      <c r="H93" s="8"/>
      <c r="I93" s="8"/>
      <c r="J93" s="8"/>
      <c r="K93" s="8"/>
    </row>
    <row r="94" spans="1:11" ht="17.25">
      <c r="A94" s="8"/>
      <c r="B94" s="8"/>
      <c r="C94" s="13"/>
      <c r="D94" s="13"/>
      <c r="E94" s="13"/>
      <c r="F94" s="13"/>
      <c r="G94" s="8"/>
      <c r="H94" s="8"/>
      <c r="I94" s="8"/>
      <c r="J94" s="8"/>
      <c r="K94" s="8"/>
    </row>
    <row r="95" spans="1:11" ht="17.25">
      <c r="A95" s="8"/>
      <c r="B95" s="8"/>
      <c r="C95" s="13"/>
      <c r="D95" s="13"/>
      <c r="E95" s="13"/>
      <c r="F95" s="13"/>
      <c r="G95" s="8"/>
      <c r="H95" s="8"/>
      <c r="I95" s="8"/>
      <c r="J95" s="8"/>
      <c r="K95" s="8"/>
    </row>
    <row r="96" spans="1:11" ht="17.25">
      <c r="A96" s="8"/>
      <c r="B96" s="8"/>
      <c r="C96" s="13"/>
      <c r="D96" s="13"/>
      <c r="E96" s="13"/>
      <c r="F96" s="13"/>
      <c r="G96" s="8"/>
      <c r="H96" s="8"/>
      <c r="I96" s="8"/>
      <c r="J96" s="8"/>
      <c r="K96" s="8"/>
    </row>
    <row r="97" spans="1:11" ht="17.25">
      <c r="A97" s="8"/>
      <c r="B97" s="8"/>
      <c r="C97" s="13"/>
      <c r="D97" s="13"/>
      <c r="E97" s="13"/>
      <c r="F97" s="13"/>
      <c r="G97" s="8"/>
      <c r="H97" s="8"/>
      <c r="I97" s="8"/>
      <c r="J97" s="8"/>
      <c r="K97" s="8"/>
    </row>
    <row r="98" spans="1:11" ht="17.25">
      <c r="A98" s="8"/>
      <c r="B98" s="8"/>
      <c r="C98" s="13"/>
      <c r="D98" s="13"/>
      <c r="E98" s="13"/>
      <c r="F98" s="13"/>
      <c r="G98" s="8"/>
      <c r="H98" s="8"/>
      <c r="I98" s="8"/>
      <c r="J98" s="8"/>
      <c r="K98" s="8"/>
    </row>
    <row r="99" spans="1:11" ht="17.25">
      <c r="A99" s="8"/>
      <c r="B99" s="8"/>
      <c r="C99" s="13"/>
      <c r="D99" s="13"/>
      <c r="E99" s="13"/>
      <c r="F99" s="13"/>
      <c r="G99" s="8"/>
      <c r="H99" s="8"/>
      <c r="I99" s="8"/>
      <c r="J99" s="8"/>
      <c r="K99" s="8"/>
    </row>
    <row r="100" spans="1:11" ht="17.25">
      <c r="A100" s="8"/>
      <c r="B100" s="8"/>
      <c r="C100" s="13"/>
      <c r="D100" s="13"/>
      <c r="E100" s="13"/>
      <c r="F100" s="13"/>
      <c r="G100" s="8"/>
      <c r="H100" s="8"/>
      <c r="I100" s="8"/>
      <c r="J100" s="8"/>
      <c r="K100" s="8"/>
    </row>
    <row r="101" spans="1:11" ht="17.25">
      <c r="A101" s="8"/>
      <c r="B101" s="8"/>
      <c r="C101" s="13"/>
      <c r="D101" s="13"/>
      <c r="E101" s="13"/>
      <c r="F101" s="13"/>
      <c r="G101" s="8"/>
      <c r="H101" s="8"/>
      <c r="I101" s="8"/>
      <c r="J101" s="8"/>
      <c r="K101" s="8"/>
    </row>
    <row r="102" spans="1:11" ht="17.25">
      <c r="A102" s="8"/>
      <c r="B102" s="8"/>
      <c r="C102" s="13"/>
      <c r="D102" s="13"/>
      <c r="E102" s="13"/>
      <c r="F102" s="13"/>
      <c r="G102" s="8"/>
      <c r="H102" s="8"/>
      <c r="I102" s="8"/>
      <c r="J102" s="8"/>
      <c r="K102" s="8"/>
    </row>
    <row r="103" spans="1:11" ht="17.25">
      <c r="A103" s="8"/>
      <c r="B103" s="8"/>
      <c r="C103" s="13"/>
      <c r="D103" s="13"/>
      <c r="E103" s="13"/>
      <c r="F103" s="13"/>
      <c r="G103" s="8"/>
      <c r="H103" s="8"/>
      <c r="I103" s="8"/>
      <c r="J103" s="8"/>
      <c r="K103" s="8"/>
    </row>
    <row r="104" spans="1:11" ht="17.25">
      <c r="A104" s="8"/>
      <c r="B104" s="8"/>
      <c r="C104" s="13"/>
      <c r="D104" s="13"/>
      <c r="E104" s="13"/>
      <c r="F104" s="13"/>
      <c r="G104" s="8"/>
      <c r="H104" s="8"/>
      <c r="I104" s="8"/>
      <c r="J104" s="8"/>
      <c r="K104" s="8"/>
    </row>
    <row r="105" spans="1:11" ht="17.25">
      <c r="A105" s="8"/>
      <c r="B105" s="8"/>
      <c r="C105" s="13"/>
      <c r="D105" s="13"/>
      <c r="E105" s="13"/>
      <c r="F105" s="13"/>
      <c r="G105" s="8"/>
      <c r="H105" s="8"/>
      <c r="I105" s="8"/>
      <c r="J105" s="8"/>
      <c r="K105" s="8"/>
    </row>
    <row r="106" spans="1:11" ht="17.25">
      <c r="A106" s="8"/>
      <c r="B106" s="8"/>
      <c r="C106" s="13"/>
      <c r="D106" s="13"/>
      <c r="E106" s="13"/>
      <c r="F106" s="13"/>
      <c r="G106" s="8"/>
      <c r="H106" s="8"/>
      <c r="I106" s="8"/>
      <c r="J106" s="8"/>
      <c r="K106" s="8"/>
    </row>
    <row r="107" spans="1:11" ht="17.25">
      <c r="A107" s="8"/>
      <c r="B107" s="8"/>
      <c r="C107" s="13"/>
      <c r="D107" s="13"/>
      <c r="E107" s="13"/>
      <c r="F107" s="13"/>
      <c r="G107" s="8"/>
      <c r="H107" s="8"/>
      <c r="I107" s="8"/>
      <c r="J107" s="8"/>
      <c r="K107" s="8"/>
    </row>
    <row r="108" spans="1:11" ht="17.25">
      <c r="A108" s="8"/>
      <c r="B108" s="8"/>
      <c r="C108" s="13"/>
      <c r="D108" s="13"/>
      <c r="E108" s="13"/>
      <c r="F108" s="13"/>
      <c r="G108" s="8"/>
      <c r="H108" s="8"/>
      <c r="I108" s="8"/>
      <c r="J108" s="8"/>
      <c r="K108" s="8"/>
    </row>
    <row r="109" spans="1:11" ht="17.25">
      <c r="A109" s="8"/>
      <c r="B109" s="8"/>
      <c r="C109" s="13"/>
      <c r="D109" s="13"/>
      <c r="E109" s="13"/>
      <c r="F109" s="13"/>
      <c r="G109" s="8"/>
      <c r="H109" s="8"/>
      <c r="I109" s="8"/>
      <c r="J109" s="8"/>
      <c r="K109" s="8"/>
    </row>
    <row r="110" spans="1:11" ht="17.25">
      <c r="A110" s="8"/>
      <c r="B110" s="8"/>
      <c r="C110" s="13"/>
      <c r="D110" s="13"/>
      <c r="E110" s="13"/>
      <c r="F110" s="13"/>
      <c r="G110" s="8"/>
      <c r="H110" s="8"/>
      <c r="I110" s="8"/>
      <c r="J110" s="8"/>
      <c r="K110" s="8"/>
    </row>
    <row r="111" spans="1:11" ht="17.25">
      <c r="A111" s="8"/>
      <c r="B111" s="8"/>
      <c r="C111" s="13"/>
      <c r="D111" s="13"/>
      <c r="E111" s="13"/>
      <c r="F111" s="13"/>
      <c r="G111" s="8"/>
      <c r="H111" s="8"/>
      <c r="I111" s="8"/>
      <c r="J111" s="8"/>
      <c r="K111" s="8"/>
    </row>
    <row r="112" spans="1:11" ht="17.25">
      <c r="A112" s="8"/>
      <c r="B112" s="8"/>
      <c r="C112" s="13"/>
      <c r="D112" s="13"/>
      <c r="E112" s="13"/>
      <c r="F112" s="13"/>
      <c r="G112" s="8"/>
      <c r="H112" s="8"/>
      <c r="I112" s="8"/>
      <c r="J112" s="8"/>
      <c r="K112" s="8"/>
    </row>
    <row r="113" spans="1:11" ht="17.25">
      <c r="A113" s="8"/>
      <c r="B113" s="8"/>
      <c r="C113" s="13"/>
      <c r="D113" s="13"/>
      <c r="E113" s="13"/>
      <c r="F113" s="13"/>
      <c r="G113" s="8"/>
      <c r="H113" s="8"/>
      <c r="I113" s="8"/>
      <c r="J113" s="8"/>
      <c r="K113" s="8"/>
    </row>
    <row r="114" spans="1:11" ht="17.25">
      <c r="A114" s="8"/>
      <c r="B114" s="8"/>
      <c r="C114" s="13"/>
      <c r="D114" s="13"/>
      <c r="E114" s="13"/>
      <c r="F114" s="13"/>
      <c r="G114" s="8"/>
      <c r="H114" s="8"/>
      <c r="I114" s="8"/>
      <c r="J114" s="8"/>
      <c r="K114" s="8"/>
    </row>
    <row r="115" spans="1:11" ht="17.25">
      <c r="A115" s="8"/>
      <c r="B115" s="8"/>
      <c r="C115" s="13"/>
      <c r="D115" s="13"/>
      <c r="E115" s="13"/>
      <c r="F115" s="13"/>
      <c r="G115" s="8"/>
      <c r="H115" s="8"/>
      <c r="I115" s="8"/>
      <c r="J115" s="8"/>
      <c r="K115" s="8"/>
    </row>
    <row r="116" spans="1:11" ht="17.25">
      <c r="A116" s="8"/>
      <c r="B116" s="8"/>
      <c r="C116" s="13"/>
      <c r="D116" s="13"/>
      <c r="E116" s="13"/>
      <c r="F116" s="13"/>
      <c r="G116" s="8"/>
      <c r="H116" s="8"/>
      <c r="I116" s="8"/>
      <c r="J116" s="8"/>
      <c r="K116" s="8"/>
    </row>
    <row r="117" spans="1:11" ht="17.25">
      <c r="A117" s="8"/>
      <c r="B117" s="8"/>
      <c r="C117" s="13"/>
      <c r="D117" s="13"/>
      <c r="E117" s="13"/>
      <c r="F117" s="13"/>
      <c r="G117" s="8"/>
      <c r="H117" s="8"/>
      <c r="I117" s="8"/>
      <c r="J117" s="8"/>
      <c r="K117" s="8"/>
    </row>
    <row r="118" spans="1:11" ht="17.25">
      <c r="A118" s="8"/>
      <c r="B118" s="8"/>
      <c r="C118" s="13"/>
      <c r="D118" s="13"/>
      <c r="E118" s="13"/>
      <c r="F118" s="13"/>
      <c r="G118" s="8"/>
      <c r="H118" s="8"/>
      <c r="I118" s="8"/>
      <c r="J118" s="8"/>
      <c r="K118" s="8"/>
    </row>
    <row r="119" spans="1:11" ht="17.25">
      <c r="A119" s="8"/>
      <c r="B119" s="8"/>
      <c r="C119" s="13"/>
      <c r="D119" s="13"/>
      <c r="E119" s="13"/>
      <c r="F119" s="13"/>
      <c r="G119" s="8"/>
      <c r="H119" s="8"/>
      <c r="I119" s="8"/>
      <c r="J119" s="8"/>
      <c r="K119" s="8"/>
    </row>
    <row r="120" spans="1:11" ht="17.25">
      <c r="A120" s="8"/>
      <c r="B120" s="8"/>
      <c r="C120" s="13"/>
      <c r="D120" s="13"/>
      <c r="E120" s="13"/>
      <c r="F120" s="13"/>
      <c r="G120" s="8"/>
      <c r="H120" s="8"/>
      <c r="I120" s="8"/>
      <c r="J120" s="8"/>
      <c r="K120" s="8"/>
    </row>
    <row r="121" spans="1:11" ht="17.25">
      <c r="A121" s="8"/>
      <c r="B121" s="8"/>
      <c r="C121" s="13"/>
      <c r="D121" s="13"/>
      <c r="E121" s="13"/>
      <c r="F121" s="13"/>
      <c r="G121" s="8"/>
      <c r="H121" s="8"/>
      <c r="I121" s="8"/>
      <c r="J121" s="8"/>
      <c r="K121" s="8"/>
    </row>
    <row r="122" spans="1:11" ht="17.25">
      <c r="A122" s="8"/>
      <c r="B122" s="8"/>
      <c r="C122" s="13"/>
      <c r="D122" s="13"/>
      <c r="E122" s="13"/>
      <c r="F122" s="13"/>
      <c r="G122" s="8"/>
      <c r="H122" s="8"/>
      <c r="I122" s="8"/>
      <c r="J122" s="8"/>
      <c r="K122" s="8"/>
    </row>
    <row r="123" spans="1:11" ht="17.25">
      <c r="A123" s="8"/>
      <c r="B123" s="8"/>
      <c r="C123" s="13"/>
      <c r="D123" s="13"/>
      <c r="E123" s="13"/>
      <c r="F123" s="13"/>
      <c r="G123" s="8"/>
      <c r="H123" s="8"/>
      <c r="I123" s="8"/>
      <c r="J123" s="8"/>
      <c r="K123" s="8"/>
    </row>
    <row r="124" spans="1:11" ht="17.25">
      <c r="A124" s="8"/>
      <c r="B124" s="8"/>
      <c r="C124" s="13"/>
      <c r="D124" s="13"/>
      <c r="E124" s="13"/>
      <c r="F124" s="13"/>
      <c r="G124" s="8"/>
      <c r="H124" s="8"/>
      <c r="I124" s="8"/>
      <c r="J124" s="8"/>
      <c r="K124" s="8"/>
    </row>
    <row r="125" spans="1:11" ht="17.25">
      <c r="A125" s="8"/>
      <c r="B125" s="8"/>
      <c r="C125" s="13"/>
      <c r="D125" s="13"/>
      <c r="E125" s="13"/>
      <c r="F125" s="13"/>
      <c r="G125" s="8"/>
      <c r="H125" s="8"/>
      <c r="I125" s="8"/>
      <c r="J125" s="8"/>
      <c r="K125" s="8"/>
    </row>
    <row r="126" spans="1:11" ht="17.25">
      <c r="A126" s="8"/>
      <c r="B126" s="8"/>
      <c r="C126" s="13"/>
      <c r="D126" s="13"/>
      <c r="E126" s="13"/>
      <c r="F126" s="13"/>
      <c r="G126" s="8"/>
      <c r="H126" s="8"/>
      <c r="I126" s="8"/>
      <c r="J126" s="8"/>
      <c r="K126" s="8"/>
    </row>
    <row r="127" spans="1:11" ht="17.25">
      <c r="A127" s="8"/>
      <c r="B127" s="8"/>
      <c r="C127" s="13"/>
      <c r="D127" s="13"/>
      <c r="E127" s="13"/>
      <c r="F127" s="13"/>
      <c r="G127" s="8"/>
      <c r="H127" s="8"/>
      <c r="I127" s="8"/>
      <c r="J127" s="8"/>
      <c r="K127" s="8"/>
    </row>
    <row r="128" spans="1:11" ht="17.25">
      <c r="A128" s="8"/>
      <c r="B128" s="8"/>
      <c r="C128" s="13"/>
      <c r="D128" s="13"/>
      <c r="E128" s="13"/>
      <c r="F128" s="13"/>
      <c r="G128" s="8"/>
      <c r="H128" s="8"/>
      <c r="I128" s="8"/>
      <c r="J128" s="8"/>
      <c r="K128" s="8"/>
    </row>
    <row r="129" spans="1:11" ht="17.25">
      <c r="A129" s="8"/>
      <c r="B129" s="8"/>
      <c r="C129" s="13"/>
      <c r="D129" s="13"/>
      <c r="E129" s="13"/>
      <c r="F129" s="13"/>
      <c r="G129" s="8"/>
      <c r="H129" s="8"/>
      <c r="I129" s="8"/>
      <c r="J129" s="8"/>
      <c r="K129" s="8"/>
    </row>
    <row r="130" spans="1:11" ht="17.25">
      <c r="A130" s="8"/>
      <c r="B130" s="8"/>
      <c r="C130" s="13"/>
      <c r="D130" s="13"/>
      <c r="E130" s="13"/>
      <c r="F130" s="13"/>
      <c r="G130" s="8"/>
      <c r="H130" s="8"/>
      <c r="I130" s="8"/>
      <c r="J130" s="8"/>
      <c r="K130" s="8"/>
    </row>
    <row r="131" spans="1:11" ht="17.25">
      <c r="A131" s="8"/>
      <c r="B131" s="8"/>
      <c r="C131" s="13"/>
      <c r="D131" s="13"/>
      <c r="E131" s="13"/>
      <c r="F131" s="13"/>
      <c r="G131" s="8"/>
      <c r="H131" s="8"/>
      <c r="I131" s="8"/>
      <c r="J131" s="8"/>
      <c r="K131" s="8"/>
    </row>
    <row r="132" spans="1:11" ht="17.25">
      <c r="A132" s="8"/>
      <c r="B132" s="8"/>
      <c r="C132" s="13"/>
      <c r="D132" s="13"/>
      <c r="E132" s="13"/>
      <c r="F132" s="13"/>
      <c r="G132" s="8"/>
      <c r="H132" s="8"/>
      <c r="I132" s="8"/>
      <c r="J132" s="8"/>
      <c r="K132" s="8"/>
    </row>
    <row r="133" spans="1:11" ht="17.25">
      <c r="A133" s="8"/>
      <c r="B133" s="8"/>
      <c r="C133" s="13"/>
      <c r="D133" s="13"/>
      <c r="E133" s="13"/>
      <c r="F133" s="13"/>
      <c r="G133" s="8"/>
      <c r="H133" s="8"/>
      <c r="I133" s="8"/>
      <c r="J133" s="8"/>
      <c r="K133" s="8"/>
    </row>
    <row r="134" spans="1:11" ht="17.25">
      <c r="A134" s="8"/>
      <c r="B134" s="8"/>
      <c r="C134" s="13"/>
      <c r="D134" s="13"/>
      <c r="E134" s="13"/>
      <c r="F134" s="13"/>
      <c r="G134" s="8"/>
      <c r="H134" s="8"/>
      <c r="I134" s="8"/>
      <c r="J134" s="8"/>
      <c r="K134" s="8"/>
    </row>
    <row r="135" spans="1:11" ht="17.25">
      <c r="A135" s="8"/>
      <c r="B135" s="8"/>
      <c r="C135" s="13"/>
      <c r="D135" s="13"/>
      <c r="E135" s="13"/>
      <c r="F135" s="13"/>
      <c r="G135" s="8"/>
      <c r="H135" s="8"/>
      <c r="I135" s="8"/>
      <c r="J135" s="8"/>
      <c r="K135" s="8"/>
    </row>
    <row r="136" spans="1:11" ht="17.25">
      <c r="A136" s="8"/>
      <c r="B136" s="8"/>
      <c r="C136" s="13"/>
      <c r="D136" s="13"/>
      <c r="E136" s="13"/>
      <c r="F136" s="13"/>
      <c r="G136" s="8"/>
      <c r="H136" s="8"/>
      <c r="I136" s="8"/>
      <c r="J136" s="8"/>
      <c r="K136" s="8"/>
    </row>
    <row r="137" spans="1:11" ht="17.25">
      <c r="A137" s="8"/>
      <c r="B137" s="8"/>
      <c r="C137" s="13"/>
      <c r="D137" s="13"/>
      <c r="E137" s="13"/>
      <c r="F137" s="13"/>
      <c r="G137" s="8"/>
      <c r="H137" s="8"/>
      <c r="I137" s="8"/>
      <c r="J137" s="8"/>
      <c r="K137" s="8"/>
    </row>
    <row r="138" spans="1:11" ht="17.25">
      <c r="A138" s="8"/>
      <c r="B138" s="8"/>
      <c r="C138" s="13"/>
      <c r="D138" s="13"/>
      <c r="E138" s="13"/>
      <c r="F138" s="13"/>
      <c r="G138" s="8"/>
      <c r="H138" s="8"/>
      <c r="I138" s="8"/>
      <c r="J138" s="8"/>
      <c r="K138" s="8"/>
    </row>
    <row r="139" spans="1:11" ht="17.25">
      <c r="A139" s="8"/>
      <c r="B139" s="8"/>
      <c r="C139" s="13"/>
      <c r="D139" s="13"/>
      <c r="E139" s="13"/>
      <c r="F139" s="13"/>
      <c r="G139" s="8"/>
      <c r="H139" s="8"/>
      <c r="I139" s="8"/>
      <c r="J139" s="8"/>
      <c r="K139" s="8"/>
    </row>
    <row r="140" spans="1:11" ht="17.25">
      <c r="A140" s="8"/>
      <c r="B140" s="8"/>
      <c r="C140" s="13"/>
      <c r="D140" s="13"/>
      <c r="E140" s="13"/>
      <c r="F140" s="13"/>
      <c r="G140" s="8"/>
      <c r="H140" s="8"/>
      <c r="I140" s="8"/>
      <c r="J140" s="8"/>
      <c r="K140" s="8"/>
    </row>
    <row r="141" spans="1:11" ht="17.25">
      <c r="A141" s="8"/>
      <c r="B141" s="8"/>
      <c r="C141" s="13"/>
      <c r="D141" s="13"/>
      <c r="E141" s="13"/>
      <c r="F141" s="13"/>
      <c r="G141" s="8"/>
      <c r="H141" s="8"/>
      <c r="I141" s="8"/>
      <c r="J141" s="8"/>
      <c r="K141" s="8"/>
    </row>
    <row r="142" spans="1:11" ht="17.25">
      <c r="A142" s="8"/>
      <c r="B142" s="8"/>
      <c r="C142" s="13"/>
      <c r="D142" s="13"/>
      <c r="E142" s="13"/>
      <c r="F142" s="13"/>
      <c r="G142" s="8"/>
      <c r="H142" s="8"/>
      <c r="I142" s="8"/>
      <c r="J142" s="8"/>
      <c r="K142" s="8"/>
    </row>
    <row r="143" spans="1:11" ht="17.25">
      <c r="A143" s="8"/>
      <c r="B143" s="8"/>
      <c r="C143" s="13"/>
      <c r="D143" s="13"/>
      <c r="E143" s="13"/>
      <c r="F143" s="13"/>
      <c r="G143" s="8"/>
      <c r="H143" s="8"/>
      <c r="I143" s="8"/>
      <c r="J143" s="8"/>
      <c r="K143" s="8"/>
    </row>
    <row r="144" spans="1:11" ht="17.25">
      <c r="A144" s="8"/>
      <c r="B144" s="8"/>
      <c r="C144" s="13"/>
      <c r="D144" s="13"/>
      <c r="E144" s="13"/>
      <c r="F144" s="13"/>
      <c r="G144" s="8"/>
      <c r="H144" s="8"/>
      <c r="I144" s="8"/>
      <c r="J144" s="8"/>
      <c r="K144" s="8"/>
    </row>
    <row r="145" spans="1:11" ht="17.25">
      <c r="A145" s="8"/>
      <c r="B145" s="8"/>
      <c r="C145" s="13"/>
      <c r="D145" s="13"/>
      <c r="E145" s="13"/>
      <c r="F145" s="13"/>
      <c r="G145" s="8"/>
      <c r="H145" s="8"/>
      <c r="I145" s="8"/>
      <c r="J145" s="8"/>
      <c r="K145" s="8"/>
    </row>
    <row r="146" spans="1:11" ht="17.25">
      <c r="A146" s="8"/>
      <c r="B146" s="8"/>
      <c r="C146" s="13"/>
      <c r="D146" s="13"/>
      <c r="E146" s="13"/>
      <c r="F146" s="13"/>
      <c r="G146" s="8"/>
      <c r="H146" s="8"/>
      <c r="I146" s="8"/>
      <c r="J146" s="8"/>
      <c r="K146" s="8"/>
    </row>
    <row r="147" spans="1:11" ht="17.25">
      <c r="A147" s="8"/>
      <c r="B147" s="8"/>
      <c r="C147" s="13"/>
      <c r="D147" s="13"/>
      <c r="E147" s="13"/>
      <c r="F147" s="13"/>
      <c r="G147" s="8"/>
      <c r="H147" s="8"/>
      <c r="I147" s="8"/>
      <c r="J147" s="8"/>
      <c r="K147" s="8"/>
    </row>
    <row r="148" spans="1:11" ht="17.25">
      <c r="A148" s="8"/>
      <c r="B148" s="8"/>
      <c r="C148" s="13"/>
      <c r="D148" s="13"/>
      <c r="E148" s="13"/>
      <c r="F148" s="13"/>
      <c r="G148" s="8"/>
      <c r="H148" s="8"/>
      <c r="I148" s="8"/>
      <c r="J148" s="8"/>
      <c r="K148" s="8"/>
    </row>
    <row r="149" spans="1:11" ht="17.25">
      <c r="A149" s="8"/>
      <c r="B149" s="8"/>
      <c r="C149" s="13"/>
      <c r="D149" s="13"/>
      <c r="E149" s="13"/>
      <c r="F149" s="13"/>
      <c r="G149" s="8"/>
      <c r="H149" s="8"/>
      <c r="I149" s="8"/>
      <c r="J149" s="8"/>
      <c r="K149" s="8"/>
    </row>
    <row r="150" spans="1:11" ht="17.25">
      <c r="A150" s="8"/>
      <c r="B150" s="8"/>
      <c r="C150" s="13"/>
      <c r="D150" s="13"/>
      <c r="E150" s="13"/>
      <c r="F150" s="13"/>
      <c r="G150" s="8"/>
      <c r="H150" s="8"/>
      <c r="I150" s="8"/>
      <c r="J150" s="8"/>
      <c r="K150" s="8"/>
    </row>
    <row r="151" spans="1:11" ht="17.25">
      <c r="A151" s="8"/>
      <c r="B151" s="8"/>
      <c r="C151" s="13"/>
      <c r="D151" s="13"/>
      <c r="E151" s="13"/>
      <c r="F151" s="13"/>
      <c r="G151" s="8"/>
      <c r="H151" s="8"/>
      <c r="I151" s="8"/>
      <c r="J151" s="8"/>
      <c r="K151" s="8"/>
    </row>
    <row r="152" spans="1:11" ht="17.25">
      <c r="A152" s="8"/>
      <c r="B152" s="8"/>
      <c r="C152" s="13"/>
      <c r="D152" s="13"/>
      <c r="E152" s="13"/>
      <c r="F152" s="13"/>
      <c r="G152" s="8"/>
      <c r="H152" s="8"/>
      <c r="I152" s="8"/>
      <c r="J152" s="8"/>
      <c r="K152" s="8"/>
    </row>
    <row r="153" spans="1:11" ht="17.25">
      <c r="A153" s="8"/>
      <c r="B153" s="8"/>
      <c r="C153" s="13"/>
      <c r="D153" s="13"/>
      <c r="E153" s="13"/>
      <c r="F153" s="13"/>
      <c r="G153" s="8"/>
      <c r="H153" s="8"/>
      <c r="I153" s="8"/>
      <c r="J153" s="8"/>
      <c r="K153" s="8"/>
    </row>
    <row r="154" spans="1:11" ht="17.25">
      <c r="A154" s="8"/>
      <c r="B154" s="8"/>
      <c r="C154" s="13"/>
      <c r="D154" s="13"/>
      <c r="E154" s="13"/>
      <c r="F154" s="13"/>
      <c r="G154" s="8"/>
      <c r="H154" s="8"/>
      <c r="I154" s="8"/>
      <c r="J154" s="8"/>
      <c r="K154" s="8"/>
    </row>
    <row r="155" spans="1:11" ht="17.25">
      <c r="A155" s="8"/>
      <c r="B155" s="8"/>
      <c r="C155" s="13"/>
      <c r="D155" s="13"/>
      <c r="E155" s="13"/>
      <c r="F155" s="13"/>
      <c r="G155" s="8"/>
      <c r="H155" s="8"/>
      <c r="I155" s="8"/>
      <c r="J155" s="8"/>
      <c r="K155" s="8"/>
    </row>
    <row r="156" spans="1:11" ht="17.25">
      <c r="A156" s="8"/>
      <c r="B156" s="8"/>
      <c r="C156" s="13"/>
      <c r="D156" s="13"/>
      <c r="E156" s="13"/>
      <c r="F156" s="13"/>
      <c r="G156" s="8"/>
      <c r="H156" s="8"/>
      <c r="I156" s="8"/>
      <c r="J156" s="8"/>
      <c r="K156" s="8"/>
    </row>
    <row r="157" spans="1:11" ht="17.25">
      <c r="A157" s="8"/>
      <c r="B157" s="8"/>
      <c r="C157" s="13"/>
      <c r="D157" s="13"/>
      <c r="E157" s="13"/>
      <c r="F157" s="13"/>
      <c r="G157" s="8"/>
      <c r="H157" s="8"/>
      <c r="I157" s="8"/>
      <c r="J157" s="8"/>
      <c r="K157" s="8"/>
    </row>
    <row r="158" spans="1:11" ht="17.25">
      <c r="A158" s="8"/>
      <c r="B158" s="8"/>
      <c r="C158" s="13"/>
      <c r="D158" s="13"/>
      <c r="E158" s="13"/>
      <c r="F158" s="13"/>
      <c r="G158" s="8"/>
      <c r="H158" s="8"/>
      <c r="I158" s="8"/>
      <c r="J158" s="8"/>
      <c r="K158" s="8"/>
    </row>
    <row r="159" spans="1:11" ht="17.25">
      <c r="A159" s="8"/>
      <c r="B159" s="8"/>
      <c r="C159" s="13"/>
      <c r="D159" s="13"/>
      <c r="E159" s="13"/>
      <c r="F159" s="13"/>
      <c r="G159" s="8"/>
      <c r="H159" s="8"/>
      <c r="I159" s="8"/>
      <c r="J159" s="8"/>
      <c r="K159" s="8"/>
    </row>
    <row r="160" spans="1:11" ht="17.25">
      <c r="A160" s="8"/>
      <c r="B160" s="8"/>
      <c r="C160" s="13"/>
      <c r="D160" s="13"/>
      <c r="E160" s="13"/>
      <c r="F160" s="13"/>
      <c r="G160" s="8"/>
      <c r="H160" s="8"/>
      <c r="I160" s="8"/>
      <c r="J160" s="8"/>
      <c r="K160" s="8"/>
    </row>
    <row r="161" spans="1:11" ht="17.25">
      <c r="A161" s="8"/>
      <c r="B161" s="8"/>
      <c r="C161" s="13"/>
      <c r="D161" s="13"/>
      <c r="E161" s="13"/>
      <c r="F161" s="13"/>
      <c r="G161" s="8"/>
      <c r="H161" s="8"/>
      <c r="I161" s="8"/>
      <c r="J161" s="8"/>
      <c r="K161" s="8"/>
    </row>
    <row r="162" spans="1:11" ht="17.25">
      <c r="A162" s="8"/>
      <c r="B162" s="8"/>
      <c r="C162" s="13"/>
      <c r="D162" s="13"/>
      <c r="E162" s="13"/>
      <c r="F162" s="13"/>
      <c r="G162" s="8"/>
      <c r="H162" s="8"/>
      <c r="I162" s="8"/>
      <c r="J162" s="8"/>
      <c r="K162" s="8"/>
    </row>
    <row r="163" spans="1:11" ht="17.25">
      <c r="A163" s="8"/>
      <c r="B163" s="8"/>
      <c r="C163" s="13"/>
      <c r="D163" s="13"/>
      <c r="E163" s="13"/>
      <c r="F163" s="13"/>
      <c r="G163" s="8"/>
      <c r="H163" s="8"/>
      <c r="I163" s="8"/>
      <c r="J163" s="8"/>
      <c r="K163" s="8"/>
    </row>
    <row r="164" spans="1:11" ht="17.25">
      <c r="A164" s="8"/>
      <c r="B164" s="8"/>
      <c r="C164" s="13"/>
      <c r="D164" s="13"/>
      <c r="E164" s="13"/>
      <c r="F164" s="13"/>
      <c r="G164" s="8"/>
      <c r="H164" s="8"/>
      <c r="I164" s="8"/>
      <c r="J164" s="8"/>
      <c r="K164" s="8"/>
    </row>
    <row r="165" spans="1:11" ht="17.25">
      <c r="A165" s="8"/>
      <c r="B165" s="8"/>
      <c r="C165" s="13"/>
      <c r="D165" s="13"/>
      <c r="E165" s="13"/>
      <c r="F165" s="13"/>
      <c r="G165" s="8"/>
      <c r="H165" s="8"/>
      <c r="I165" s="8"/>
      <c r="J165" s="8"/>
      <c r="K165" s="8"/>
    </row>
    <row r="166" spans="1:11" ht="17.25">
      <c r="A166" s="8"/>
      <c r="B166" s="8"/>
      <c r="C166" s="13"/>
      <c r="D166" s="13"/>
      <c r="E166" s="13"/>
      <c r="F166" s="13"/>
      <c r="G166" s="8"/>
      <c r="H166" s="8"/>
      <c r="I166" s="8"/>
      <c r="J166" s="8"/>
      <c r="K166" s="8"/>
    </row>
    <row r="167" spans="1:11" ht="17.25">
      <c r="A167" s="8"/>
      <c r="B167" s="8"/>
      <c r="C167" s="13"/>
      <c r="D167" s="13"/>
      <c r="E167" s="13"/>
      <c r="F167" s="13"/>
      <c r="G167" s="8"/>
      <c r="H167" s="8"/>
      <c r="I167" s="8"/>
      <c r="J167" s="8"/>
      <c r="K167" s="8"/>
    </row>
    <row r="168" spans="1:11" ht="17.25">
      <c r="A168" s="8"/>
      <c r="B168" s="8"/>
      <c r="C168" s="13"/>
      <c r="D168" s="13"/>
      <c r="E168" s="13"/>
      <c r="F168" s="13"/>
      <c r="G168" s="8"/>
      <c r="H168" s="8"/>
      <c r="I168" s="8"/>
      <c r="J168" s="8"/>
      <c r="K168" s="8"/>
    </row>
    <row r="169" spans="1:11" ht="17.25">
      <c r="A169" s="8"/>
      <c r="B169" s="8"/>
      <c r="C169" s="13"/>
      <c r="D169" s="13"/>
      <c r="E169" s="13"/>
      <c r="F169" s="13"/>
      <c r="G169" s="8"/>
      <c r="H169" s="8"/>
      <c r="I169" s="8"/>
      <c r="J169" s="8"/>
      <c r="K169" s="8"/>
    </row>
    <row r="170" spans="1:11" ht="17.25">
      <c r="A170" s="8"/>
      <c r="B170" s="8"/>
      <c r="C170" s="13"/>
      <c r="D170" s="13"/>
      <c r="E170" s="13"/>
      <c r="F170" s="13"/>
      <c r="G170" s="8"/>
      <c r="H170" s="8"/>
      <c r="I170" s="8"/>
      <c r="J170" s="8"/>
      <c r="K170" s="8"/>
    </row>
    <row r="171" spans="1:11" ht="17.25">
      <c r="A171" s="8"/>
      <c r="B171" s="8"/>
      <c r="C171" s="13"/>
      <c r="D171" s="13"/>
      <c r="E171" s="13"/>
      <c r="F171" s="13"/>
      <c r="G171" s="8"/>
      <c r="H171" s="8"/>
      <c r="I171" s="8"/>
      <c r="J171" s="8"/>
      <c r="K171" s="8"/>
    </row>
    <row r="172" spans="1:11" ht="17.25">
      <c r="A172" s="8"/>
      <c r="B172" s="8"/>
      <c r="C172" s="13"/>
      <c r="D172" s="13"/>
      <c r="E172" s="13"/>
      <c r="F172" s="13"/>
      <c r="G172" s="8"/>
      <c r="H172" s="8"/>
      <c r="I172" s="8"/>
      <c r="J172" s="8"/>
      <c r="K172" s="8"/>
    </row>
    <row r="173" spans="1:11" ht="17.25">
      <c r="A173" s="8"/>
      <c r="B173" s="8"/>
      <c r="C173" s="13"/>
      <c r="D173" s="13"/>
      <c r="E173" s="13"/>
      <c r="F173" s="13"/>
      <c r="G173" s="8"/>
      <c r="H173" s="8"/>
      <c r="I173" s="8"/>
      <c r="J173" s="8"/>
      <c r="K173" s="8"/>
    </row>
    <row r="174" spans="1:11" ht="17.25">
      <c r="A174" s="8"/>
      <c r="B174" s="8"/>
      <c r="C174" s="13"/>
      <c r="D174" s="13"/>
      <c r="E174" s="13"/>
      <c r="F174" s="13"/>
      <c r="G174" s="8"/>
      <c r="H174" s="8"/>
      <c r="I174" s="8"/>
      <c r="J174" s="8"/>
      <c r="K174" s="8"/>
    </row>
    <row r="175" spans="1:11" ht="17.25">
      <c r="A175" s="8"/>
      <c r="B175" s="8"/>
      <c r="C175" s="13"/>
      <c r="D175" s="13"/>
      <c r="E175" s="13"/>
      <c r="F175" s="13"/>
      <c r="G175" s="8"/>
      <c r="H175" s="8"/>
      <c r="I175" s="8"/>
      <c r="J175" s="8"/>
      <c r="K175" s="8"/>
    </row>
    <row r="176" spans="1:11" ht="17.25">
      <c r="A176" s="8"/>
      <c r="B176" s="8"/>
      <c r="C176" s="13"/>
      <c r="D176" s="13"/>
      <c r="E176" s="13"/>
      <c r="F176" s="13"/>
      <c r="G176" s="8"/>
      <c r="H176" s="8"/>
      <c r="I176" s="8"/>
      <c r="J176" s="8"/>
      <c r="K176" s="8"/>
    </row>
    <row r="177" spans="1:11" ht="17.25">
      <c r="A177" s="8"/>
      <c r="B177" s="8"/>
      <c r="C177" s="13"/>
      <c r="D177" s="13"/>
      <c r="E177" s="13"/>
      <c r="F177" s="13"/>
      <c r="G177" s="8"/>
      <c r="H177" s="8"/>
      <c r="I177" s="8"/>
      <c r="J177" s="8"/>
      <c r="K177" s="8"/>
    </row>
    <row r="178" spans="1:11" ht="17.25">
      <c r="A178" s="8"/>
      <c r="B178" s="8"/>
      <c r="C178" s="13"/>
      <c r="D178" s="13"/>
      <c r="E178" s="13"/>
      <c r="F178" s="13"/>
      <c r="G178" s="8"/>
      <c r="H178" s="8"/>
      <c r="I178" s="8"/>
      <c r="J178" s="8"/>
      <c r="K178" s="8"/>
    </row>
    <row r="179" spans="1:11" ht="17.25">
      <c r="A179" s="8"/>
      <c r="B179" s="8"/>
      <c r="C179" s="13"/>
      <c r="D179" s="13"/>
      <c r="E179" s="13"/>
      <c r="F179" s="13"/>
      <c r="G179" s="8"/>
      <c r="H179" s="8"/>
      <c r="I179" s="8"/>
      <c r="J179" s="8"/>
      <c r="K179" s="8"/>
    </row>
    <row r="180" spans="1:11" ht="17.25">
      <c r="A180" s="8"/>
      <c r="B180" s="8"/>
      <c r="C180" s="13"/>
      <c r="D180" s="13"/>
      <c r="E180" s="13"/>
      <c r="F180" s="13"/>
      <c r="G180" s="8"/>
      <c r="H180" s="8"/>
      <c r="I180" s="8"/>
      <c r="J180" s="8"/>
      <c r="K180" s="8"/>
    </row>
    <row r="181" spans="1:11" ht="17.25">
      <c r="A181" s="8"/>
      <c r="B181" s="8"/>
      <c r="C181" s="13"/>
      <c r="D181" s="13"/>
      <c r="E181" s="13"/>
      <c r="F181" s="13"/>
      <c r="G181" s="8"/>
      <c r="H181" s="8"/>
      <c r="I181" s="8"/>
      <c r="J181" s="8"/>
      <c r="K181" s="8"/>
    </row>
    <row r="182" spans="1:11" ht="17.25">
      <c r="A182" s="8"/>
      <c r="B182" s="8"/>
      <c r="C182" s="13"/>
      <c r="D182" s="13"/>
      <c r="E182" s="13"/>
      <c r="F182" s="13"/>
      <c r="G182" s="8"/>
      <c r="H182" s="8"/>
      <c r="I182" s="8"/>
      <c r="J182" s="8"/>
      <c r="K182" s="8"/>
    </row>
    <row r="183" spans="1:11" ht="17.25">
      <c r="A183" s="8"/>
      <c r="B183" s="8"/>
      <c r="C183" s="13"/>
      <c r="D183" s="13"/>
      <c r="E183" s="13"/>
      <c r="F183" s="13"/>
      <c r="G183" s="8"/>
      <c r="H183" s="8"/>
      <c r="I183" s="8"/>
      <c r="J183" s="8"/>
      <c r="K183" s="8"/>
    </row>
    <row r="184" spans="1:11" ht="17.25">
      <c r="A184" s="8"/>
      <c r="B184" s="8"/>
      <c r="C184" s="13"/>
      <c r="D184" s="13"/>
      <c r="E184" s="13"/>
      <c r="F184" s="13"/>
      <c r="G184" s="8"/>
      <c r="H184" s="8"/>
      <c r="I184" s="8"/>
      <c r="J184" s="8"/>
      <c r="K184" s="8"/>
    </row>
    <row r="185" spans="1:11" ht="17.25">
      <c r="A185" s="8"/>
      <c r="B185" s="8"/>
      <c r="C185" s="13"/>
      <c r="D185" s="13"/>
      <c r="E185" s="13"/>
      <c r="F185" s="13"/>
      <c r="G185" s="8"/>
      <c r="H185" s="8"/>
      <c r="I185" s="8"/>
      <c r="J185" s="8"/>
      <c r="K185" s="8"/>
    </row>
    <row r="186" spans="1:11" ht="17.25">
      <c r="A186" s="8"/>
      <c r="B186" s="8"/>
      <c r="C186" s="13"/>
      <c r="D186" s="13"/>
      <c r="E186" s="13"/>
      <c r="F186" s="13"/>
      <c r="G186" s="8"/>
      <c r="H186" s="8"/>
      <c r="I186" s="8"/>
      <c r="J186" s="8"/>
      <c r="K186" s="8"/>
    </row>
    <row r="187" spans="1:11" ht="17.25">
      <c r="A187" s="8"/>
      <c r="B187" s="8"/>
      <c r="C187" s="13"/>
      <c r="D187" s="13"/>
      <c r="E187" s="13"/>
      <c r="F187" s="13"/>
      <c r="G187" s="8"/>
      <c r="H187" s="8"/>
      <c r="I187" s="8"/>
      <c r="J187" s="8"/>
      <c r="K187" s="8"/>
    </row>
    <row r="188" spans="1:11" ht="17.25">
      <c r="A188" s="8"/>
      <c r="B188" s="8"/>
      <c r="C188" s="13"/>
      <c r="D188" s="13"/>
      <c r="E188" s="13"/>
      <c r="F188" s="13"/>
      <c r="G188" s="8"/>
      <c r="H188" s="8"/>
      <c r="I188" s="8"/>
      <c r="J188" s="8"/>
      <c r="K188" s="8"/>
    </row>
    <row r="189" spans="1:11" ht="17.25">
      <c r="A189" s="8"/>
      <c r="B189" s="8"/>
      <c r="C189" s="13"/>
      <c r="D189" s="13"/>
      <c r="E189" s="13"/>
      <c r="F189" s="13"/>
      <c r="G189" s="8"/>
      <c r="H189" s="8"/>
      <c r="I189" s="8"/>
      <c r="J189" s="8"/>
      <c r="K189" s="8"/>
    </row>
    <row r="190" spans="1:11" ht="17.25">
      <c r="A190" s="8"/>
      <c r="B190" s="8"/>
      <c r="C190" s="13"/>
      <c r="D190" s="13"/>
      <c r="E190" s="13"/>
      <c r="F190" s="13"/>
      <c r="G190" s="8"/>
      <c r="H190" s="8"/>
      <c r="I190" s="8"/>
      <c r="J190" s="8"/>
      <c r="K190" s="8"/>
    </row>
    <row r="191" spans="1:11" ht="17.25">
      <c r="A191" s="8"/>
      <c r="B191" s="8"/>
      <c r="C191" s="13"/>
      <c r="D191" s="13"/>
      <c r="E191" s="13"/>
      <c r="F191" s="13"/>
      <c r="G191" s="8"/>
      <c r="H191" s="8"/>
      <c r="I191" s="8"/>
      <c r="J191" s="8"/>
      <c r="K191" s="8"/>
    </row>
    <row r="192" spans="1:11" ht="17.25">
      <c r="A192" s="8"/>
      <c r="B192" s="8"/>
      <c r="C192" s="13"/>
      <c r="D192" s="13"/>
      <c r="E192" s="13"/>
      <c r="F192" s="13"/>
      <c r="G192" s="8"/>
      <c r="H192" s="8"/>
      <c r="I192" s="8"/>
      <c r="J192" s="8"/>
      <c r="K192" s="8"/>
    </row>
    <row r="193" spans="1:11" ht="17.25">
      <c r="A193" s="8"/>
      <c r="B193" s="8"/>
      <c r="C193" s="13"/>
      <c r="D193" s="13"/>
      <c r="E193" s="13"/>
      <c r="F193" s="13"/>
      <c r="G193" s="8"/>
      <c r="H193" s="8"/>
      <c r="I193" s="8"/>
      <c r="J193" s="8"/>
      <c r="K193" s="8"/>
    </row>
    <row r="194" spans="1:11" ht="17.25">
      <c r="A194" s="8"/>
      <c r="B194" s="8"/>
      <c r="C194" s="13"/>
      <c r="D194" s="13"/>
      <c r="E194" s="13"/>
      <c r="F194" s="13"/>
      <c r="G194" s="8"/>
      <c r="H194" s="8"/>
      <c r="I194" s="8"/>
      <c r="J194" s="8"/>
      <c r="K194" s="8"/>
    </row>
    <row r="195" spans="1:11" ht="17.25">
      <c r="A195" s="8"/>
      <c r="B195" s="8"/>
      <c r="C195" s="13"/>
      <c r="D195" s="13"/>
      <c r="E195" s="13"/>
      <c r="F195" s="13"/>
      <c r="G195" s="8"/>
      <c r="H195" s="8"/>
      <c r="I195" s="8"/>
      <c r="J195" s="8"/>
      <c r="K195" s="8"/>
    </row>
    <row r="196" spans="1:11" ht="17.25">
      <c r="A196" s="8"/>
      <c r="B196" s="8"/>
      <c r="C196" s="13"/>
      <c r="D196" s="13"/>
      <c r="E196" s="13"/>
      <c r="F196" s="13"/>
      <c r="G196" s="8"/>
      <c r="H196" s="8"/>
      <c r="I196" s="8"/>
      <c r="J196" s="8"/>
      <c r="K196" s="8"/>
    </row>
    <row r="197" spans="1:11" ht="17.25">
      <c r="A197" s="8"/>
      <c r="B197" s="8"/>
      <c r="C197" s="13"/>
      <c r="D197" s="13"/>
      <c r="E197" s="13"/>
      <c r="F197" s="13"/>
      <c r="G197" s="8"/>
      <c r="H197" s="8"/>
      <c r="I197" s="8"/>
      <c r="J197" s="8"/>
      <c r="K197" s="8"/>
    </row>
    <row r="198" spans="1:11" ht="17.25">
      <c r="A198" s="8"/>
      <c r="B198" s="8"/>
      <c r="C198" s="13"/>
      <c r="D198" s="13"/>
      <c r="E198" s="13"/>
      <c r="F198" s="13"/>
      <c r="G198" s="8"/>
      <c r="H198" s="8"/>
      <c r="I198" s="8"/>
      <c r="J198" s="8"/>
      <c r="K198" s="8"/>
    </row>
    <row r="199" spans="1:11" ht="17.25">
      <c r="A199" s="8"/>
      <c r="B199" s="8"/>
      <c r="C199" s="13"/>
      <c r="D199" s="13"/>
      <c r="E199" s="13"/>
      <c r="F199" s="13"/>
      <c r="G199" s="8"/>
      <c r="H199" s="8"/>
      <c r="I199" s="8"/>
      <c r="J199" s="8"/>
      <c r="K199" s="8"/>
    </row>
    <row r="200" spans="1:11" ht="17.25">
      <c r="A200" s="8"/>
      <c r="B200" s="8"/>
      <c r="C200" s="13"/>
      <c r="D200" s="13"/>
      <c r="E200" s="13"/>
      <c r="F200" s="13"/>
      <c r="G200" s="8"/>
      <c r="H200" s="8"/>
      <c r="I200" s="8"/>
      <c r="J200" s="8"/>
      <c r="K200" s="8"/>
    </row>
    <row r="201" spans="1:11" ht="17.25">
      <c r="A201" s="8"/>
      <c r="B201" s="8"/>
      <c r="C201" s="13"/>
      <c r="D201" s="13"/>
      <c r="E201" s="13"/>
      <c r="F201" s="13"/>
      <c r="G201" s="8"/>
      <c r="H201" s="8"/>
      <c r="I201" s="8"/>
      <c r="J201" s="8"/>
      <c r="K201" s="8"/>
    </row>
    <row r="202" spans="1:11" ht="17.25">
      <c r="A202" s="8"/>
      <c r="B202" s="8"/>
      <c r="C202" s="13"/>
      <c r="D202" s="13"/>
      <c r="E202" s="13"/>
      <c r="F202" s="13"/>
      <c r="G202" s="8"/>
      <c r="H202" s="8"/>
      <c r="I202" s="8"/>
      <c r="J202" s="8"/>
      <c r="K202" s="8"/>
    </row>
    <row r="203" spans="1:11" ht="17.25">
      <c r="A203" s="8"/>
      <c r="B203" s="8"/>
      <c r="C203" s="13"/>
      <c r="D203" s="13"/>
      <c r="E203" s="13"/>
      <c r="F203" s="13"/>
      <c r="G203" s="8"/>
      <c r="H203" s="8"/>
      <c r="I203" s="8"/>
      <c r="J203" s="8"/>
      <c r="K203" s="8"/>
    </row>
    <row r="204" spans="1:11" ht="17.25">
      <c r="A204" s="8"/>
      <c r="B204" s="8"/>
      <c r="C204" s="13"/>
      <c r="D204" s="13"/>
      <c r="E204" s="13"/>
      <c r="F204" s="13"/>
      <c r="G204" s="8"/>
      <c r="H204" s="8"/>
      <c r="I204" s="8"/>
      <c r="J204" s="8"/>
      <c r="K204" s="8"/>
    </row>
    <row r="205" spans="1:11" ht="17.25">
      <c r="A205" s="8"/>
      <c r="B205" s="8"/>
      <c r="C205" s="13"/>
      <c r="D205" s="13"/>
      <c r="E205" s="13"/>
      <c r="F205" s="13"/>
      <c r="G205" s="8"/>
      <c r="H205" s="8"/>
      <c r="I205" s="8"/>
      <c r="J205" s="8"/>
      <c r="K205" s="8"/>
    </row>
    <row r="206" spans="1:11" ht="17.25">
      <c r="A206" s="8"/>
      <c r="B206" s="8"/>
      <c r="C206" s="13"/>
      <c r="D206" s="13"/>
      <c r="E206" s="13"/>
      <c r="F206" s="13"/>
      <c r="G206" s="8"/>
      <c r="H206" s="8"/>
      <c r="I206" s="8"/>
      <c r="J206" s="8"/>
      <c r="K206" s="8"/>
    </row>
    <row r="207" spans="1:11" ht="17.25">
      <c r="A207" s="8"/>
      <c r="B207" s="8"/>
      <c r="C207" s="13"/>
      <c r="D207" s="13"/>
      <c r="E207" s="13"/>
      <c r="F207" s="13"/>
      <c r="G207" s="8"/>
      <c r="H207" s="8"/>
      <c r="I207" s="8"/>
      <c r="J207" s="8"/>
      <c r="K207" s="8"/>
    </row>
    <row r="208" spans="1:11" ht="17.25">
      <c r="A208" s="8"/>
      <c r="B208" s="8"/>
      <c r="C208" s="13"/>
      <c r="D208" s="13"/>
      <c r="E208" s="13"/>
      <c r="F208" s="13"/>
      <c r="G208" s="8"/>
      <c r="H208" s="8"/>
      <c r="I208" s="8"/>
      <c r="J208" s="8"/>
      <c r="K208" s="8"/>
    </row>
    <row r="209" spans="1:11" ht="17.25">
      <c r="A209" s="8"/>
      <c r="B209" s="8"/>
      <c r="C209" s="13"/>
      <c r="D209" s="13"/>
      <c r="E209" s="13"/>
      <c r="F209" s="13"/>
      <c r="G209" s="8"/>
      <c r="H209" s="8"/>
      <c r="I209" s="8"/>
      <c r="J209" s="8"/>
      <c r="K209" s="8"/>
    </row>
    <row r="210" spans="1:11" ht="17.25">
      <c r="A210" s="8"/>
      <c r="B210" s="8"/>
      <c r="C210" s="13"/>
      <c r="D210" s="13"/>
      <c r="E210" s="13"/>
      <c r="F210" s="13"/>
      <c r="G210" s="8"/>
      <c r="H210" s="8"/>
      <c r="I210" s="8"/>
      <c r="J210" s="8"/>
      <c r="K210" s="8"/>
    </row>
    <row r="211" spans="1:11" ht="17.25">
      <c r="A211" s="8"/>
      <c r="B211" s="8"/>
      <c r="C211" s="13"/>
      <c r="D211" s="13"/>
      <c r="E211" s="13"/>
      <c r="F211" s="13"/>
      <c r="G211" s="8"/>
      <c r="H211" s="8"/>
      <c r="I211" s="8"/>
      <c r="J211" s="8"/>
      <c r="K211" s="8"/>
    </row>
    <row r="212" spans="1:11" ht="17.25">
      <c r="A212" s="8"/>
      <c r="B212" s="8"/>
      <c r="C212" s="13"/>
      <c r="D212" s="13"/>
      <c r="E212" s="13"/>
      <c r="F212" s="13"/>
      <c r="G212" s="8"/>
      <c r="H212" s="8"/>
      <c r="I212" s="8"/>
      <c r="J212" s="8"/>
      <c r="K212" s="8"/>
    </row>
    <row r="213" spans="1:11" ht="17.25">
      <c r="A213" s="8"/>
      <c r="B213" s="8"/>
      <c r="C213" s="13"/>
      <c r="D213" s="13"/>
      <c r="E213" s="13"/>
      <c r="F213" s="13"/>
      <c r="G213" s="8"/>
      <c r="H213" s="8"/>
      <c r="I213" s="8"/>
      <c r="J213" s="8"/>
      <c r="K213" s="8"/>
    </row>
    <row r="214" spans="1:11" ht="17.25">
      <c r="A214" s="8"/>
      <c r="B214" s="8"/>
      <c r="C214" s="13"/>
      <c r="D214" s="13"/>
      <c r="E214" s="13"/>
      <c r="F214" s="13"/>
      <c r="G214" s="8"/>
      <c r="H214" s="8"/>
      <c r="I214" s="8"/>
      <c r="J214" s="8"/>
      <c r="K214" s="8"/>
    </row>
    <row r="215" spans="1:11" ht="17.25">
      <c r="A215" s="8"/>
      <c r="B215" s="8"/>
      <c r="C215" s="13"/>
      <c r="D215" s="13"/>
      <c r="E215" s="13"/>
      <c r="F215" s="13"/>
      <c r="G215" s="8"/>
      <c r="H215" s="8"/>
      <c r="I215" s="8"/>
      <c r="J215" s="8"/>
      <c r="K215" s="8"/>
    </row>
    <row r="216" spans="1:11" ht="17.25">
      <c r="A216" s="8"/>
      <c r="B216" s="8"/>
      <c r="C216" s="13"/>
      <c r="D216" s="13"/>
      <c r="E216" s="13"/>
      <c r="F216" s="13"/>
      <c r="G216" s="8"/>
      <c r="H216" s="8"/>
      <c r="I216" s="8"/>
      <c r="J216" s="8"/>
      <c r="K216" s="8"/>
    </row>
    <row r="217" spans="1:11" ht="17.25">
      <c r="A217" s="8"/>
      <c r="B217" s="8"/>
      <c r="C217" s="13"/>
      <c r="D217" s="13"/>
      <c r="E217" s="13"/>
      <c r="F217" s="13"/>
      <c r="G217" s="8"/>
      <c r="H217" s="8"/>
      <c r="I217" s="8"/>
      <c r="J217" s="8"/>
      <c r="K217" s="8"/>
    </row>
    <row r="218" spans="1:11" ht="17.25">
      <c r="A218" s="8"/>
      <c r="B218" s="8"/>
      <c r="C218" s="13"/>
      <c r="D218" s="13"/>
      <c r="E218" s="13"/>
      <c r="F218" s="13"/>
      <c r="G218" s="8"/>
      <c r="H218" s="8"/>
      <c r="I218" s="8"/>
      <c r="J218" s="8"/>
      <c r="K218" s="8"/>
    </row>
    <row r="219" spans="1:11" ht="17.25">
      <c r="A219" s="8"/>
      <c r="B219" s="8"/>
      <c r="C219" s="13"/>
      <c r="D219" s="13"/>
      <c r="E219" s="13"/>
      <c r="F219" s="13"/>
      <c r="G219" s="8"/>
      <c r="H219" s="8"/>
      <c r="I219" s="8"/>
      <c r="J219" s="8"/>
      <c r="K219" s="8"/>
    </row>
    <row r="220" spans="1:11" ht="17.25">
      <c r="A220" s="8"/>
      <c r="B220" s="8"/>
      <c r="C220" s="13"/>
      <c r="D220" s="13"/>
      <c r="E220" s="13"/>
      <c r="F220" s="13"/>
      <c r="G220" s="8"/>
      <c r="H220" s="8"/>
      <c r="I220" s="8"/>
      <c r="J220" s="8"/>
      <c r="K220" s="8"/>
    </row>
    <row r="221" spans="1:11" ht="17.25">
      <c r="A221" s="8"/>
      <c r="B221" s="8"/>
      <c r="C221" s="13"/>
      <c r="D221" s="13"/>
      <c r="E221" s="13"/>
      <c r="F221" s="13"/>
      <c r="G221" s="8"/>
      <c r="H221" s="8"/>
      <c r="I221" s="8"/>
      <c r="J221" s="8"/>
      <c r="K221" s="8"/>
    </row>
    <row r="222" spans="1:11" ht="17.25">
      <c r="A222" s="8"/>
      <c r="B222" s="8"/>
      <c r="C222" s="13"/>
      <c r="D222" s="13"/>
      <c r="E222" s="13"/>
      <c r="F222" s="13"/>
      <c r="G222" s="8"/>
      <c r="H222" s="8"/>
      <c r="I222" s="8"/>
      <c r="J222" s="8"/>
      <c r="K222" s="8"/>
    </row>
    <row r="223" spans="1:11" ht="17.25">
      <c r="A223" s="8"/>
      <c r="B223" s="8"/>
      <c r="C223" s="13"/>
      <c r="D223" s="13"/>
      <c r="E223" s="13"/>
      <c r="F223" s="13"/>
      <c r="G223" s="8"/>
      <c r="H223" s="8"/>
      <c r="I223" s="8"/>
      <c r="J223" s="8"/>
      <c r="K223" s="8"/>
    </row>
    <row r="224" spans="1:11" ht="17.25">
      <c r="A224" s="8"/>
      <c r="B224" s="8"/>
      <c r="C224" s="13"/>
      <c r="D224" s="13"/>
      <c r="E224" s="13"/>
      <c r="F224" s="13"/>
      <c r="G224" s="8"/>
      <c r="H224" s="8"/>
      <c r="I224" s="8"/>
      <c r="J224" s="8"/>
      <c r="K224" s="8"/>
    </row>
    <row r="225" spans="1:11" ht="17.25">
      <c r="A225" s="8"/>
      <c r="B225" s="8"/>
      <c r="C225" s="13"/>
      <c r="D225" s="13"/>
      <c r="E225" s="13"/>
      <c r="F225" s="13"/>
      <c r="G225" s="8"/>
      <c r="H225" s="8"/>
      <c r="I225" s="8"/>
      <c r="J225" s="8"/>
      <c r="K225" s="8"/>
    </row>
    <row r="226" spans="1:11" ht="17.25">
      <c r="A226" s="8"/>
      <c r="B226" s="8"/>
      <c r="C226" s="13"/>
      <c r="D226" s="13"/>
      <c r="E226" s="13"/>
      <c r="F226" s="13"/>
      <c r="G226" s="8"/>
      <c r="H226" s="8"/>
      <c r="I226" s="8"/>
      <c r="J226" s="8"/>
      <c r="K226" s="8"/>
    </row>
    <row r="227" spans="1:11" ht="17.25">
      <c r="A227" s="8"/>
      <c r="B227" s="8"/>
      <c r="C227" s="13"/>
      <c r="D227" s="13"/>
      <c r="E227" s="13"/>
      <c r="F227" s="13"/>
      <c r="G227" s="8"/>
      <c r="H227" s="8"/>
      <c r="I227" s="8"/>
      <c r="J227" s="8"/>
      <c r="K227" s="8"/>
    </row>
    <row r="228" spans="1:11" ht="17.25">
      <c r="A228" s="8"/>
      <c r="B228" s="8"/>
      <c r="C228" s="13"/>
      <c r="D228" s="13"/>
      <c r="E228" s="13"/>
      <c r="F228" s="13"/>
      <c r="G228" s="8"/>
      <c r="H228" s="8"/>
      <c r="I228" s="8"/>
      <c r="J228" s="8"/>
      <c r="K228" s="8"/>
    </row>
    <row r="229" spans="1:11" ht="17.25">
      <c r="A229" s="8"/>
      <c r="B229" s="8"/>
      <c r="C229" s="13"/>
      <c r="D229" s="13"/>
      <c r="E229" s="13"/>
      <c r="F229" s="13"/>
      <c r="G229" s="8"/>
      <c r="H229" s="8"/>
      <c r="I229" s="8"/>
      <c r="J229" s="8"/>
      <c r="K229" s="8"/>
    </row>
    <row r="230" spans="1:11" ht="17.25">
      <c r="A230" s="8"/>
      <c r="B230" s="8"/>
      <c r="C230" s="13"/>
      <c r="D230" s="13"/>
      <c r="E230" s="13"/>
      <c r="F230" s="13"/>
      <c r="G230" s="8"/>
      <c r="H230" s="8"/>
      <c r="I230" s="8"/>
      <c r="J230" s="8"/>
      <c r="K230" s="8"/>
    </row>
    <row r="231" spans="1:11" ht="17.25">
      <c r="A231" s="8"/>
      <c r="B231" s="8"/>
      <c r="C231" s="13"/>
      <c r="D231" s="13"/>
      <c r="E231" s="13"/>
      <c r="F231" s="13"/>
      <c r="G231" s="8"/>
      <c r="H231" s="8"/>
      <c r="I231" s="8"/>
      <c r="J231" s="8"/>
      <c r="K231" s="8"/>
    </row>
    <row r="232" spans="1:11" ht="17.25">
      <c r="A232" s="8"/>
      <c r="B232" s="8"/>
      <c r="C232" s="13"/>
      <c r="D232" s="13"/>
      <c r="E232" s="13"/>
      <c r="F232" s="13"/>
      <c r="G232" s="8"/>
      <c r="H232" s="8"/>
      <c r="I232" s="8"/>
      <c r="J232" s="8"/>
      <c r="K232" s="8"/>
    </row>
    <row r="233" spans="1:11" ht="17.25">
      <c r="A233" s="8"/>
      <c r="B233" s="8"/>
      <c r="C233" s="13"/>
      <c r="D233" s="13"/>
      <c r="E233" s="13"/>
      <c r="F233" s="13"/>
      <c r="G233" s="8"/>
      <c r="H233" s="8"/>
      <c r="I233" s="8"/>
      <c r="J233" s="8"/>
      <c r="K233" s="8"/>
    </row>
    <row r="234" spans="1:11" ht="17.25">
      <c r="A234" s="8"/>
      <c r="B234" s="8"/>
      <c r="C234" s="13"/>
      <c r="D234" s="13"/>
      <c r="E234" s="13"/>
      <c r="F234" s="13"/>
      <c r="G234" s="8"/>
      <c r="H234" s="8"/>
      <c r="I234" s="8"/>
      <c r="J234" s="8"/>
      <c r="K234" s="8"/>
    </row>
    <row r="235" spans="1:11" ht="17.25">
      <c r="A235" s="8"/>
      <c r="B235" s="8"/>
      <c r="C235" s="13"/>
      <c r="D235" s="13"/>
      <c r="E235" s="13"/>
      <c r="F235" s="13"/>
      <c r="G235" s="8"/>
      <c r="H235" s="8"/>
      <c r="I235" s="8"/>
      <c r="J235" s="8"/>
      <c r="K235" s="8"/>
    </row>
    <row r="236" spans="1:11" ht="17.25">
      <c r="A236" s="8"/>
      <c r="B236" s="8"/>
      <c r="C236" s="13"/>
      <c r="D236" s="13"/>
      <c r="E236" s="13"/>
      <c r="F236" s="13"/>
      <c r="G236" s="8"/>
      <c r="H236" s="8"/>
      <c r="I236" s="8"/>
      <c r="J236" s="8"/>
      <c r="K236" s="8"/>
    </row>
    <row r="237" spans="1:11" ht="17.25">
      <c r="A237" s="8"/>
      <c r="B237" s="8"/>
      <c r="C237" s="13"/>
      <c r="D237" s="13"/>
      <c r="E237" s="13"/>
      <c r="F237" s="13"/>
      <c r="G237" s="8"/>
      <c r="H237" s="8"/>
      <c r="I237" s="8"/>
      <c r="J237" s="8"/>
      <c r="K237" s="8"/>
    </row>
    <row r="238" spans="1:11" ht="17.25">
      <c r="A238" s="8"/>
      <c r="B238" s="8"/>
      <c r="C238" s="13"/>
      <c r="D238" s="13"/>
      <c r="E238" s="13"/>
      <c r="F238" s="13"/>
      <c r="G238" s="8"/>
      <c r="H238" s="8"/>
      <c r="I238" s="8"/>
      <c r="J238" s="8"/>
      <c r="K238" s="8"/>
    </row>
    <row r="239" spans="1:11" ht="17.25">
      <c r="A239" s="8"/>
      <c r="B239" s="8"/>
      <c r="C239" s="13"/>
      <c r="D239" s="13"/>
      <c r="E239" s="13"/>
      <c r="F239" s="13"/>
      <c r="G239" s="8"/>
      <c r="H239" s="8"/>
      <c r="I239" s="8"/>
      <c r="J239" s="8"/>
      <c r="K239" s="8"/>
    </row>
    <row r="240" spans="1:11" ht="17.25">
      <c r="A240" s="8"/>
      <c r="B240" s="8"/>
      <c r="C240" s="13"/>
      <c r="D240" s="13"/>
      <c r="E240" s="13"/>
      <c r="F240" s="13"/>
      <c r="G240" s="8"/>
      <c r="H240" s="8"/>
      <c r="I240" s="8"/>
      <c r="J240" s="8"/>
      <c r="K240" s="8"/>
    </row>
    <row r="241" spans="1:11" ht="17.25">
      <c r="A241" s="8"/>
      <c r="B241" s="8"/>
      <c r="C241" s="13"/>
      <c r="D241" s="13"/>
      <c r="E241" s="13"/>
      <c r="F241" s="13"/>
      <c r="G241" s="8"/>
      <c r="H241" s="8"/>
      <c r="I241" s="8"/>
      <c r="J241" s="8"/>
      <c r="K241" s="8"/>
    </row>
    <row r="242" spans="1:11" ht="17.25">
      <c r="A242" s="8"/>
      <c r="B242" s="8"/>
      <c r="C242" s="13"/>
      <c r="D242" s="13"/>
      <c r="E242" s="13"/>
      <c r="F242" s="13"/>
      <c r="G242" s="8"/>
      <c r="H242" s="8"/>
      <c r="I242" s="8"/>
      <c r="J242" s="8"/>
      <c r="K242" s="8"/>
    </row>
    <row r="243" spans="1:11" ht="17.25">
      <c r="A243" s="8"/>
      <c r="B243" s="8"/>
      <c r="C243" s="13"/>
      <c r="D243" s="13"/>
      <c r="E243" s="13"/>
      <c r="F243" s="13"/>
      <c r="G243" s="8"/>
      <c r="H243" s="8"/>
      <c r="I243" s="8"/>
      <c r="J243" s="8"/>
      <c r="K243" s="8"/>
    </row>
    <row r="244" spans="1:11" ht="17.25">
      <c r="A244" s="8"/>
      <c r="B244" s="8"/>
      <c r="C244" s="13"/>
      <c r="D244" s="13"/>
      <c r="E244" s="13"/>
      <c r="F244" s="13"/>
      <c r="G244" s="8"/>
      <c r="H244" s="8"/>
      <c r="I244" s="8"/>
      <c r="J244" s="8"/>
      <c r="K244" s="8"/>
    </row>
    <row r="245" spans="1:11" ht="17.25">
      <c r="A245" s="8"/>
      <c r="B245" s="8"/>
      <c r="C245" s="13"/>
      <c r="D245" s="13"/>
      <c r="E245" s="13"/>
      <c r="F245" s="13"/>
      <c r="G245" s="8"/>
      <c r="H245" s="8"/>
      <c r="I245" s="8"/>
      <c r="J245" s="8"/>
      <c r="K245" s="8"/>
    </row>
    <row r="246" spans="1:11" ht="17.25">
      <c r="A246" s="8"/>
      <c r="B246" s="8"/>
      <c r="C246" s="13"/>
      <c r="D246" s="13"/>
      <c r="E246" s="13"/>
      <c r="F246" s="13"/>
      <c r="G246" s="8"/>
      <c r="H246" s="8"/>
      <c r="I246" s="8"/>
      <c r="J246" s="8"/>
      <c r="K246" s="8"/>
    </row>
    <row r="247" spans="1:11" ht="17.25">
      <c r="A247" s="8"/>
      <c r="B247" s="8"/>
      <c r="C247" s="13"/>
      <c r="D247" s="13"/>
      <c r="E247" s="13"/>
      <c r="F247" s="13"/>
      <c r="G247" s="8"/>
      <c r="H247" s="8"/>
      <c r="I247" s="8"/>
      <c r="J247" s="8"/>
      <c r="K247" s="8"/>
    </row>
    <row r="248" spans="1:11" ht="17.25">
      <c r="A248" s="8"/>
      <c r="B248" s="8"/>
      <c r="C248" s="13"/>
      <c r="D248" s="13"/>
      <c r="E248" s="13"/>
      <c r="F248" s="13"/>
      <c r="G248" s="8"/>
      <c r="H248" s="8"/>
      <c r="I248" s="8"/>
      <c r="J248" s="8"/>
      <c r="K248" s="8"/>
    </row>
    <row r="249" spans="1:11" ht="17.25">
      <c r="A249" s="8"/>
      <c r="B249" s="8"/>
      <c r="C249" s="13"/>
      <c r="D249" s="13"/>
      <c r="E249" s="13"/>
      <c r="F249" s="13"/>
      <c r="G249" s="8"/>
      <c r="H249" s="8"/>
      <c r="I249" s="8"/>
      <c r="J249" s="8"/>
      <c r="K249" s="8"/>
    </row>
    <row r="250" spans="1:11" ht="17.25">
      <c r="A250" s="8"/>
      <c r="B250" s="8"/>
      <c r="C250" s="13"/>
      <c r="D250" s="13"/>
      <c r="E250" s="13"/>
      <c r="F250" s="13"/>
      <c r="G250" s="8"/>
      <c r="H250" s="8"/>
      <c r="I250" s="8"/>
      <c r="J250" s="8"/>
      <c r="K250" s="8"/>
    </row>
    <row r="251" spans="1:11" ht="17.25">
      <c r="A251" s="8"/>
      <c r="B251" s="8"/>
      <c r="C251" s="13"/>
      <c r="D251" s="13"/>
      <c r="E251" s="13"/>
      <c r="F251" s="13"/>
      <c r="G251" s="8"/>
      <c r="H251" s="8"/>
      <c r="I251" s="8"/>
      <c r="J251" s="8"/>
      <c r="K251" s="8"/>
    </row>
    <row r="252" spans="1:11" ht="17.25">
      <c r="A252" s="8"/>
      <c r="B252" s="8"/>
      <c r="C252" s="13"/>
      <c r="D252" s="13"/>
      <c r="E252" s="13"/>
      <c r="F252" s="13"/>
      <c r="G252" s="8"/>
      <c r="H252" s="8"/>
      <c r="I252" s="8"/>
      <c r="J252" s="8"/>
      <c r="K252" s="8"/>
    </row>
    <row r="253" spans="1:11" ht="17.25">
      <c r="A253" s="8"/>
      <c r="B253" s="8"/>
      <c r="C253" s="13"/>
      <c r="D253" s="13"/>
      <c r="E253" s="13"/>
      <c r="F253" s="13"/>
      <c r="G253" s="8"/>
      <c r="H253" s="8"/>
      <c r="I253" s="8"/>
      <c r="J253" s="8"/>
      <c r="K253" s="8"/>
    </row>
    <row r="254" spans="1:11" ht="17.25">
      <c r="A254" s="8"/>
      <c r="B254" s="8"/>
      <c r="C254" s="13"/>
      <c r="D254" s="13"/>
      <c r="E254" s="13"/>
      <c r="F254" s="13"/>
      <c r="G254" s="8"/>
      <c r="H254" s="8"/>
      <c r="I254" s="8"/>
      <c r="J254" s="8"/>
      <c r="K254" s="8"/>
    </row>
    <row r="255" spans="1:11" ht="17.25">
      <c r="A255" s="8"/>
      <c r="B255" s="8"/>
      <c r="C255" s="13"/>
      <c r="D255" s="13"/>
      <c r="E255" s="13"/>
      <c r="F255" s="13"/>
      <c r="G255" s="8"/>
      <c r="H255" s="8"/>
      <c r="I255" s="8"/>
      <c r="J255" s="8"/>
      <c r="K255" s="8"/>
    </row>
    <row r="256" spans="1:11" ht="17.25">
      <c r="A256" s="8"/>
      <c r="B256" s="8"/>
      <c r="C256" s="13"/>
      <c r="D256" s="13"/>
      <c r="E256" s="13"/>
      <c r="F256" s="13"/>
      <c r="G256" s="8"/>
      <c r="H256" s="8"/>
      <c r="I256" s="8"/>
      <c r="J256" s="8"/>
      <c r="K256" s="8"/>
    </row>
    <row r="257" spans="1:11" ht="17.25">
      <c r="A257" s="8"/>
      <c r="B257" s="8"/>
      <c r="C257" s="13"/>
      <c r="D257" s="13"/>
      <c r="E257" s="13"/>
      <c r="F257" s="13"/>
      <c r="G257" s="8"/>
      <c r="H257" s="8"/>
      <c r="I257" s="8"/>
      <c r="J257" s="8"/>
      <c r="K257" s="8"/>
    </row>
    <row r="258" spans="1:11" ht="17.25">
      <c r="A258" s="8"/>
      <c r="B258" s="8"/>
      <c r="C258" s="13"/>
      <c r="D258" s="13"/>
      <c r="E258" s="13"/>
      <c r="F258" s="13"/>
      <c r="G258" s="8"/>
      <c r="H258" s="8"/>
      <c r="I258" s="8"/>
      <c r="J258" s="8"/>
      <c r="K258" s="8"/>
    </row>
    <row r="259" spans="1:11" ht="17.25">
      <c r="A259" s="8"/>
      <c r="B259" s="8"/>
      <c r="C259" s="13"/>
      <c r="D259" s="13"/>
      <c r="E259" s="13"/>
      <c r="F259" s="13"/>
      <c r="G259" s="8"/>
      <c r="H259" s="8"/>
      <c r="I259" s="8"/>
      <c r="J259" s="8"/>
      <c r="K259" s="8"/>
    </row>
    <row r="260" spans="1:11" ht="17.25">
      <c r="A260" s="8"/>
      <c r="B260" s="8"/>
      <c r="C260" s="13"/>
      <c r="D260" s="13"/>
      <c r="E260" s="13"/>
      <c r="F260" s="13"/>
      <c r="G260" s="8"/>
      <c r="H260" s="8"/>
      <c r="I260" s="8"/>
      <c r="J260" s="8"/>
      <c r="K260" s="8"/>
    </row>
    <row r="261" spans="1:11" ht="17.25">
      <c r="A261" s="8"/>
      <c r="B261" s="8"/>
      <c r="C261" s="13"/>
      <c r="D261" s="13"/>
      <c r="E261" s="13"/>
      <c r="F261" s="13"/>
      <c r="G261" s="8"/>
      <c r="H261" s="8"/>
      <c r="I261" s="8"/>
      <c r="J261" s="8"/>
      <c r="K261" s="8"/>
    </row>
    <row r="262" spans="1:11" ht="17.25">
      <c r="A262" s="8"/>
      <c r="B262" s="8"/>
      <c r="C262" s="13"/>
      <c r="D262" s="13"/>
      <c r="E262" s="13"/>
      <c r="F262" s="13"/>
      <c r="G262" s="8"/>
      <c r="H262" s="8"/>
      <c r="I262" s="8"/>
      <c r="J262" s="8"/>
      <c r="K262" s="8"/>
    </row>
    <row r="263" spans="1:11" ht="17.25">
      <c r="A263" s="8"/>
      <c r="B263" s="8"/>
      <c r="C263" s="13"/>
      <c r="D263" s="13"/>
      <c r="E263" s="13"/>
      <c r="F263" s="13"/>
      <c r="G263" s="8"/>
      <c r="H263" s="8"/>
      <c r="I263" s="8"/>
      <c r="J263" s="8"/>
      <c r="K263" s="8"/>
    </row>
    <row r="264" spans="1:11" ht="17.25">
      <c r="A264" s="8"/>
      <c r="B264" s="8"/>
      <c r="C264" s="13"/>
      <c r="D264" s="13"/>
      <c r="E264" s="13"/>
      <c r="F264" s="13"/>
      <c r="G264" s="8"/>
      <c r="H264" s="8"/>
      <c r="I264" s="8"/>
      <c r="J264" s="8"/>
      <c r="K264" s="8"/>
    </row>
    <row r="265" spans="1:11" ht="17.25">
      <c r="A265" s="8"/>
      <c r="B265" s="8"/>
      <c r="C265" s="13"/>
      <c r="D265" s="13"/>
      <c r="E265" s="13"/>
      <c r="F265" s="13"/>
      <c r="G265" s="8"/>
      <c r="H265" s="8"/>
      <c r="I265" s="8"/>
      <c r="J265" s="8"/>
      <c r="K265" s="8"/>
    </row>
    <row r="266" spans="1:11" ht="17.25">
      <c r="A266" s="8"/>
      <c r="B266" s="8"/>
      <c r="C266" s="13"/>
      <c r="D266" s="13"/>
      <c r="E266" s="13"/>
      <c r="F266" s="13"/>
      <c r="G266" s="8"/>
      <c r="H266" s="8"/>
      <c r="I266" s="8"/>
      <c r="J266" s="8"/>
      <c r="K266" s="8"/>
    </row>
    <row r="267" spans="1:11" ht="17.25">
      <c r="A267" s="8"/>
      <c r="B267" s="8"/>
      <c r="C267" s="13"/>
      <c r="D267" s="13"/>
      <c r="E267" s="13"/>
      <c r="F267" s="13"/>
      <c r="G267" s="8"/>
      <c r="H267" s="8"/>
      <c r="I267" s="8"/>
      <c r="J267" s="8"/>
      <c r="K267" s="8"/>
    </row>
    <row r="268" spans="1:11" ht="17.25">
      <c r="A268" s="8"/>
      <c r="B268" s="8"/>
      <c r="C268" s="13"/>
      <c r="D268" s="13"/>
      <c r="E268" s="13"/>
      <c r="F268" s="13"/>
      <c r="G268" s="8"/>
      <c r="H268" s="8"/>
      <c r="I268" s="8"/>
      <c r="J268" s="8"/>
      <c r="K268" s="8"/>
    </row>
    <row r="269" spans="1:11" ht="17.25">
      <c r="A269" s="8"/>
      <c r="B269" s="8"/>
      <c r="C269" s="13"/>
      <c r="D269" s="13"/>
      <c r="E269" s="13"/>
      <c r="F269" s="13"/>
      <c r="G269" s="8"/>
      <c r="H269" s="8"/>
      <c r="I269" s="8"/>
      <c r="J269" s="8"/>
      <c r="K269" s="8"/>
    </row>
    <row r="270" spans="1:11" ht="17.25">
      <c r="A270" s="8"/>
      <c r="B270" s="8"/>
      <c r="C270" s="13"/>
      <c r="D270" s="13"/>
      <c r="E270" s="13"/>
      <c r="F270" s="13"/>
      <c r="G270" s="8"/>
      <c r="H270" s="8"/>
      <c r="I270" s="8"/>
      <c r="J270" s="8"/>
      <c r="K270" s="8"/>
    </row>
    <row r="271" spans="1:11" ht="17.25">
      <c r="A271" s="8"/>
      <c r="B271" s="8"/>
      <c r="C271" s="13"/>
      <c r="D271" s="13"/>
      <c r="E271" s="13"/>
      <c r="F271" s="13"/>
      <c r="G271" s="8"/>
      <c r="H271" s="8"/>
      <c r="I271" s="8"/>
      <c r="J271" s="8"/>
      <c r="K271" s="8"/>
    </row>
    <row r="272" spans="1:11" ht="17.25">
      <c r="A272" s="8"/>
      <c r="B272" s="8"/>
      <c r="C272" s="13"/>
      <c r="D272" s="13"/>
      <c r="E272" s="13"/>
      <c r="F272" s="13"/>
      <c r="G272" s="8"/>
      <c r="H272" s="8"/>
      <c r="I272" s="8"/>
      <c r="J272" s="8"/>
      <c r="K272" s="8"/>
    </row>
    <row r="273" spans="1:11" ht="17.25">
      <c r="A273" s="8"/>
      <c r="B273" s="8"/>
      <c r="C273" s="13"/>
      <c r="D273" s="13"/>
      <c r="E273" s="13"/>
      <c r="F273" s="13"/>
      <c r="G273" s="8"/>
      <c r="H273" s="8"/>
      <c r="I273" s="8"/>
      <c r="J273" s="8"/>
      <c r="K273" s="8"/>
    </row>
    <row r="274" spans="1:11" ht="17.25">
      <c r="A274" s="8"/>
      <c r="B274" s="8"/>
      <c r="C274" s="13"/>
      <c r="D274" s="13"/>
      <c r="E274" s="13"/>
      <c r="F274" s="13"/>
      <c r="G274" s="8"/>
      <c r="H274" s="8"/>
      <c r="I274" s="8"/>
      <c r="J274" s="8"/>
      <c r="K274" s="8"/>
    </row>
    <row r="275" spans="1:11" ht="17.25">
      <c r="A275" s="8"/>
      <c r="B275" s="8"/>
      <c r="C275" s="13"/>
      <c r="D275" s="13"/>
      <c r="E275" s="13"/>
      <c r="F275" s="13"/>
      <c r="G275" s="8"/>
      <c r="H275" s="8"/>
      <c r="I275" s="8"/>
      <c r="J275" s="8"/>
      <c r="K275" s="8"/>
    </row>
    <row r="276" spans="1:11" ht="17.25">
      <c r="A276" s="8"/>
      <c r="B276" s="8"/>
      <c r="C276" s="13"/>
      <c r="D276" s="13"/>
      <c r="E276" s="13"/>
      <c r="F276" s="13"/>
      <c r="G276" s="8"/>
      <c r="H276" s="8"/>
      <c r="I276" s="8"/>
      <c r="J276" s="8"/>
      <c r="K276" s="8"/>
    </row>
    <row r="277" spans="1:11" ht="17.25">
      <c r="A277" s="8"/>
      <c r="B277" s="8"/>
      <c r="C277" s="13"/>
      <c r="D277" s="13"/>
      <c r="E277" s="13"/>
      <c r="F277" s="13"/>
      <c r="G277" s="8"/>
      <c r="H277" s="8"/>
      <c r="I277" s="8"/>
      <c r="J277" s="8"/>
      <c r="K277" s="8"/>
    </row>
    <row r="278" spans="1:11" ht="17.25">
      <c r="A278" s="8"/>
      <c r="B278" s="8"/>
      <c r="C278" s="13"/>
      <c r="D278" s="13"/>
      <c r="E278" s="13"/>
      <c r="F278" s="13"/>
      <c r="G278" s="8"/>
      <c r="H278" s="8"/>
      <c r="I278" s="8"/>
      <c r="J278" s="8"/>
      <c r="K278" s="8"/>
    </row>
    <row r="279" spans="1:11" ht="17.25">
      <c r="A279" s="8"/>
      <c r="B279" s="8"/>
      <c r="C279" s="13"/>
      <c r="D279" s="13"/>
      <c r="E279" s="13"/>
      <c r="F279" s="13"/>
      <c r="G279" s="8"/>
      <c r="H279" s="8"/>
      <c r="I279" s="8"/>
      <c r="J279" s="8"/>
      <c r="K279" s="8"/>
    </row>
    <row r="280" spans="1:11" ht="17.25">
      <c r="A280" s="8"/>
      <c r="B280" s="8"/>
      <c r="C280" s="13"/>
      <c r="D280" s="13"/>
      <c r="E280" s="13"/>
      <c r="F280" s="13"/>
      <c r="G280" s="8"/>
      <c r="H280" s="8"/>
      <c r="I280" s="8"/>
      <c r="J280" s="8"/>
      <c r="K280" s="8"/>
    </row>
    <row r="281" spans="1:11" ht="17.25">
      <c r="A281" s="8"/>
      <c r="B281" s="8"/>
      <c r="C281" s="13"/>
      <c r="D281" s="13"/>
      <c r="E281" s="13"/>
      <c r="F281" s="13"/>
      <c r="G281" s="8"/>
      <c r="H281" s="8"/>
      <c r="I281" s="8"/>
      <c r="J281" s="8"/>
      <c r="K281" s="8"/>
    </row>
    <row r="282" spans="1:11" ht="17.25">
      <c r="A282" s="8"/>
      <c r="B282" s="8"/>
      <c r="C282" s="13"/>
      <c r="D282" s="13"/>
      <c r="E282" s="13"/>
      <c r="F282" s="13"/>
      <c r="G282" s="8"/>
      <c r="H282" s="8"/>
      <c r="I282" s="8"/>
      <c r="J282" s="8"/>
      <c r="K282" s="8"/>
    </row>
    <row r="283" spans="1:11" ht="17.25">
      <c r="A283" s="8"/>
      <c r="B283" s="8"/>
      <c r="C283" s="13"/>
      <c r="D283" s="13"/>
      <c r="E283" s="13"/>
      <c r="F283" s="13"/>
      <c r="G283" s="8"/>
      <c r="H283" s="8"/>
      <c r="I283" s="8"/>
      <c r="J283" s="8"/>
      <c r="K283" s="8"/>
    </row>
    <row r="284" spans="1:11" ht="17.25">
      <c r="A284" s="8"/>
      <c r="B284" s="8"/>
      <c r="C284" s="13"/>
      <c r="D284" s="13"/>
      <c r="E284" s="13"/>
      <c r="F284" s="13"/>
      <c r="G284" s="8"/>
      <c r="H284" s="8"/>
      <c r="I284" s="8"/>
      <c r="J284" s="8"/>
      <c r="K284" s="8"/>
    </row>
    <row r="285" spans="1:11" ht="17.25">
      <c r="A285" s="8"/>
      <c r="B285" s="8"/>
      <c r="C285" s="13"/>
      <c r="D285" s="13"/>
      <c r="E285" s="13"/>
      <c r="F285" s="13"/>
      <c r="G285" s="8"/>
      <c r="H285" s="8"/>
      <c r="I285" s="8"/>
      <c r="J285" s="8"/>
      <c r="K285" s="8"/>
    </row>
    <row r="286" spans="1:11" ht="17.25">
      <c r="A286" s="8"/>
      <c r="B286" s="8"/>
      <c r="C286" s="13"/>
      <c r="D286" s="13"/>
      <c r="E286" s="13"/>
      <c r="F286" s="13"/>
      <c r="G286" s="8"/>
      <c r="H286" s="8"/>
      <c r="I286" s="8"/>
      <c r="J286" s="8"/>
      <c r="K286" s="8"/>
    </row>
    <row r="287" spans="1:11" ht="17.25">
      <c r="A287" s="8"/>
      <c r="B287" s="8"/>
      <c r="C287" s="13"/>
      <c r="D287" s="13"/>
      <c r="E287" s="13"/>
      <c r="F287" s="13"/>
      <c r="G287" s="8"/>
      <c r="H287" s="8"/>
      <c r="I287" s="8"/>
      <c r="J287" s="8"/>
      <c r="K287" s="8"/>
    </row>
    <row r="288" spans="1:11" ht="17.25">
      <c r="A288" s="8"/>
      <c r="B288" s="8"/>
      <c r="C288" s="13"/>
      <c r="D288" s="13"/>
      <c r="E288" s="13"/>
      <c r="F288" s="13"/>
      <c r="G288" s="8"/>
      <c r="H288" s="8"/>
      <c r="I288" s="8"/>
      <c r="J288" s="8"/>
      <c r="K288" s="8"/>
    </row>
    <row r="289" spans="1:11" ht="17.25">
      <c r="A289" s="8"/>
      <c r="B289" s="8"/>
      <c r="C289" s="13"/>
      <c r="D289" s="13"/>
      <c r="E289" s="13"/>
      <c r="F289" s="13"/>
      <c r="G289" s="8"/>
      <c r="H289" s="8"/>
      <c r="I289" s="8"/>
      <c r="J289" s="8"/>
      <c r="K289" s="8"/>
    </row>
    <row r="290" spans="1:11" ht="17.25">
      <c r="A290" s="8"/>
      <c r="B290" s="8"/>
      <c r="C290" s="13"/>
      <c r="D290" s="13"/>
      <c r="E290" s="13"/>
      <c r="F290" s="13"/>
      <c r="G290" s="8"/>
      <c r="H290" s="8"/>
      <c r="I290" s="8"/>
      <c r="J290" s="8"/>
      <c r="K290" s="8"/>
    </row>
    <row r="291" spans="1:11" ht="17.25">
      <c r="A291" s="8"/>
      <c r="B291" s="8"/>
      <c r="C291" s="13"/>
      <c r="D291" s="13"/>
      <c r="E291" s="13"/>
      <c r="F291" s="13"/>
      <c r="G291" s="8"/>
      <c r="H291" s="8"/>
      <c r="I291" s="8"/>
      <c r="J291" s="8"/>
      <c r="K291" s="8"/>
    </row>
    <row r="292" spans="1:11" ht="17.25">
      <c r="A292" s="8"/>
      <c r="B292" s="8"/>
      <c r="C292" s="13"/>
      <c r="D292" s="13"/>
      <c r="E292" s="13"/>
      <c r="F292" s="13"/>
      <c r="G292" s="8"/>
      <c r="H292" s="8"/>
      <c r="I292" s="8"/>
      <c r="J292" s="8"/>
      <c r="K292" s="8"/>
    </row>
    <row r="293" spans="1:11" ht="17.25">
      <c r="A293" s="8"/>
      <c r="B293" s="8"/>
      <c r="C293" s="13"/>
      <c r="D293" s="13"/>
      <c r="E293" s="13"/>
      <c r="F293" s="13"/>
      <c r="G293" s="8"/>
      <c r="H293" s="8"/>
      <c r="I293" s="8"/>
      <c r="J293" s="8"/>
      <c r="K293" s="8"/>
    </row>
    <row r="294" spans="1:11" ht="17.25">
      <c r="A294" s="8"/>
      <c r="B294" s="8"/>
      <c r="C294" s="13"/>
      <c r="D294" s="13"/>
      <c r="E294" s="13"/>
      <c r="F294" s="13"/>
      <c r="G294" s="8"/>
      <c r="H294" s="8"/>
      <c r="I294" s="8"/>
      <c r="J294" s="8"/>
      <c r="K294" s="8"/>
    </row>
    <row r="295" spans="1:11" ht="17.25">
      <c r="A295" s="8"/>
      <c r="B295" s="8"/>
      <c r="C295" s="13"/>
      <c r="D295" s="13"/>
      <c r="E295" s="13"/>
      <c r="F295" s="13"/>
      <c r="G295" s="8"/>
      <c r="H295" s="8"/>
      <c r="I295" s="8"/>
      <c r="J295" s="8"/>
      <c r="K295" s="8"/>
    </row>
    <row r="296" spans="1:11" ht="17.25">
      <c r="A296" s="8"/>
      <c r="B296" s="8"/>
      <c r="C296" s="13"/>
      <c r="D296" s="13"/>
      <c r="E296" s="13"/>
      <c r="F296" s="13"/>
      <c r="G296" s="8"/>
      <c r="H296" s="8"/>
      <c r="I296" s="8"/>
      <c r="J296" s="8"/>
      <c r="K296" s="8"/>
    </row>
    <row r="297" spans="1:11" ht="17.25">
      <c r="A297" s="8"/>
      <c r="B297" s="8"/>
      <c r="C297" s="13"/>
      <c r="D297" s="13"/>
      <c r="E297" s="13"/>
      <c r="F297" s="13"/>
      <c r="G297" s="8"/>
      <c r="H297" s="8"/>
      <c r="I297" s="8"/>
      <c r="J297" s="8"/>
      <c r="K297" s="8"/>
    </row>
  </sheetData>
  <mergeCells count="4">
    <mergeCell ref="A4:K4"/>
    <mergeCell ref="E49:G49"/>
    <mergeCell ref="A5:M5"/>
    <mergeCell ref="L6:M6"/>
  </mergeCells>
  <printOptions/>
  <pageMargins left="0.75" right="0.25" top="0.75" bottom="0.5" header="0.5" footer="0"/>
  <pageSetup horizontalDpi="600" verticalDpi="600" orientation="portrait" paperSize="9" scale="90" r:id="rId2"/>
  <headerFooter alignWithMargins="0">
    <oddFooter>&amp;CKQHÑK NAÊM 2006&amp;RTrang 1/1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pane xSplit="1" ySplit="8" topLeftCell="G9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4" sqref="A104:IV104"/>
    </sheetView>
  </sheetViews>
  <sheetFormatPr defaultColWidth="8.796875" defaultRowHeight="15"/>
  <cols>
    <col min="1" max="1" width="7.3984375" style="20" customWidth="1"/>
    <col min="2" max="2" width="37.09765625" style="356" customWidth="1"/>
    <col min="3" max="3" width="13.8984375" style="20" customWidth="1"/>
    <col min="4" max="4" width="15.09765625" style="20" customWidth="1"/>
    <col min="5" max="5" width="15.69921875" style="20" customWidth="1"/>
    <col min="6" max="6" width="15.8984375" style="20" customWidth="1"/>
    <col min="7" max="7" width="15.3984375" style="20" customWidth="1"/>
    <col min="8" max="8" width="14.5" style="20" customWidth="1"/>
    <col min="9" max="10" width="14" style="20" customWidth="1"/>
    <col min="11" max="11" width="11.59765625" style="20" bestFit="1" customWidth="1"/>
    <col min="12" max="16384" width="9" style="20" customWidth="1"/>
  </cols>
  <sheetData>
    <row r="1" spans="1:14" s="226" customFormat="1" ht="19.5">
      <c r="A1" s="493" t="s">
        <v>301</v>
      </c>
      <c r="B1" s="493"/>
      <c r="C1" s="493"/>
      <c r="D1" s="493"/>
      <c r="E1" s="493"/>
      <c r="F1" s="493"/>
      <c r="G1" s="493"/>
      <c r="H1" s="493"/>
      <c r="I1" s="493"/>
      <c r="J1" s="493"/>
      <c r="K1" s="227"/>
      <c r="L1" s="227"/>
      <c r="M1" s="227"/>
      <c r="N1" s="227"/>
    </row>
    <row r="2" spans="1:14" s="324" customFormat="1" ht="15.75" customHeight="1">
      <c r="A2" s="498" t="s">
        <v>302</v>
      </c>
      <c r="B2" s="498"/>
      <c r="C2" s="498"/>
      <c r="D2" s="498"/>
      <c r="E2" s="498"/>
      <c r="F2" s="498"/>
      <c r="G2" s="498"/>
      <c r="H2" s="498"/>
      <c r="I2" s="498"/>
      <c r="J2" s="498"/>
      <c r="K2" s="323"/>
      <c r="L2" s="323"/>
      <c r="M2" s="323"/>
      <c r="N2" s="323"/>
    </row>
    <row r="3" spans="1:14" s="324" customFormat="1" ht="16.5">
      <c r="A3" s="509" t="s">
        <v>303</v>
      </c>
      <c r="B3" s="509"/>
      <c r="C3" s="509"/>
      <c r="D3" s="509"/>
      <c r="E3" s="509"/>
      <c r="F3" s="509"/>
      <c r="G3" s="509"/>
      <c r="H3" s="509"/>
      <c r="I3" s="509"/>
      <c r="J3" s="509"/>
      <c r="K3" s="325"/>
      <c r="L3" s="325"/>
      <c r="M3" s="325"/>
      <c r="N3" s="325"/>
    </row>
    <row r="4" spans="1:14" s="226" customFormat="1" ht="14.25">
      <c r="A4" s="494" t="s">
        <v>550</v>
      </c>
      <c r="B4" s="494"/>
      <c r="C4" s="494"/>
      <c r="D4" s="494"/>
      <c r="E4" s="494"/>
      <c r="F4" s="494"/>
      <c r="G4" s="494"/>
      <c r="H4" s="494"/>
      <c r="I4" s="494"/>
      <c r="J4" s="494"/>
      <c r="K4" s="228"/>
      <c r="L4" s="228"/>
      <c r="M4" s="228"/>
      <c r="N4" s="228"/>
    </row>
    <row r="7" spans="1:10" s="365" customFormat="1" ht="21" customHeight="1">
      <c r="A7" s="496" t="s">
        <v>636</v>
      </c>
      <c r="B7" s="492" t="s">
        <v>637</v>
      </c>
      <c r="C7" s="496" t="s">
        <v>638</v>
      </c>
      <c r="D7" s="496"/>
      <c r="E7" s="496" t="s">
        <v>548</v>
      </c>
      <c r="F7" s="496"/>
      <c r="G7" s="496" t="s">
        <v>645</v>
      </c>
      <c r="H7" s="496"/>
      <c r="I7" s="496" t="s">
        <v>647</v>
      </c>
      <c r="J7" s="496"/>
    </row>
    <row r="8" spans="1:10" s="365" customFormat="1" ht="19.5" customHeight="1">
      <c r="A8" s="496"/>
      <c r="B8" s="492"/>
      <c r="C8" s="358" t="s">
        <v>639</v>
      </c>
      <c r="D8" s="358" t="s">
        <v>640</v>
      </c>
      <c r="E8" s="358" t="s">
        <v>639</v>
      </c>
      <c r="F8" s="358" t="s">
        <v>640</v>
      </c>
      <c r="G8" s="358" t="s">
        <v>646</v>
      </c>
      <c r="H8" s="358" t="s">
        <v>640</v>
      </c>
      <c r="I8" s="358" t="s">
        <v>639</v>
      </c>
      <c r="J8" s="358" t="s">
        <v>640</v>
      </c>
    </row>
    <row r="9" spans="1:12" ht="18.75" customHeight="1">
      <c r="A9" s="317">
        <v>1111</v>
      </c>
      <c r="B9" s="316" t="s">
        <v>254</v>
      </c>
      <c r="C9" s="366">
        <v>730102830</v>
      </c>
      <c r="D9" s="366">
        <v>0</v>
      </c>
      <c r="E9" s="366">
        <v>36985881243</v>
      </c>
      <c r="F9" s="366">
        <v>34686740089</v>
      </c>
      <c r="G9" s="366">
        <v>88030016037</v>
      </c>
      <c r="H9" s="366">
        <v>86353326231</v>
      </c>
      <c r="I9" s="366">
        <v>2406792636</v>
      </c>
      <c r="J9" s="366">
        <v>0</v>
      </c>
      <c r="K9" s="354"/>
      <c r="L9" s="354"/>
    </row>
    <row r="10" spans="1:12" s="21" customFormat="1" ht="18.75" customHeight="1">
      <c r="A10" s="319">
        <v>1121</v>
      </c>
      <c r="B10" s="471" t="s">
        <v>10</v>
      </c>
      <c r="C10" s="366">
        <v>287547297</v>
      </c>
      <c r="D10" s="366">
        <v>0</v>
      </c>
      <c r="E10" s="366">
        <v>80146398624</v>
      </c>
      <c r="F10" s="366">
        <v>141616406933</v>
      </c>
      <c r="G10" s="366">
        <v>267375674521</v>
      </c>
      <c r="H10" s="366">
        <v>266819091842</v>
      </c>
      <c r="I10" s="366">
        <v>844129976</v>
      </c>
      <c r="J10" s="366">
        <v>0</v>
      </c>
      <c r="K10" s="354"/>
      <c r="L10" s="354"/>
    </row>
    <row r="11" spans="1:12" s="21" customFormat="1" ht="18.75" customHeight="1">
      <c r="A11" s="319">
        <v>1122</v>
      </c>
      <c r="B11" s="471" t="s">
        <v>11</v>
      </c>
      <c r="C11" s="366">
        <v>5807914225</v>
      </c>
      <c r="D11" s="366">
        <v>0</v>
      </c>
      <c r="E11" s="366">
        <v>131161728416</v>
      </c>
      <c r="F11" s="366">
        <v>103421754831</v>
      </c>
      <c r="G11" s="366">
        <v>341039738938</v>
      </c>
      <c r="H11" s="366">
        <v>310450855625</v>
      </c>
      <c r="I11" s="366">
        <v>36396797538</v>
      </c>
      <c r="J11" s="366">
        <v>0</v>
      </c>
      <c r="K11" s="354"/>
      <c r="L11" s="354"/>
    </row>
    <row r="12" spans="1:12" s="21" customFormat="1" ht="18.75" customHeight="1">
      <c r="A12" s="319">
        <v>112</v>
      </c>
      <c r="B12" s="471" t="s">
        <v>12</v>
      </c>
      <c r="C12" s="366">
        <v>6095461522</v>
      </c>
      <c r="D12" s="366">
        <v>0</v>
      </c>
      <c r="E12" s="366">
        <v>211308127040</v>
      </c>
      <c r="F12" s="366">
        <v>245038161764</v>
      </c>
      <c r="G12" s="366">
        <v>608415413459</v>
      </c>
      <c r="H12" s="366">
        <v>577269947467</v>
      </c>
      <c r="I12" s="366">
        <v>37240927514</v>
      </c>
      <c r="J12" s="366">
        <v>0</v>
      </c>
      <c r="K12" s="354"/>
      <c r="L12" s="354"/>
    </row>
    <row r="13" spans="1:12" ht="18.75" customHeight="1">
      <c r="A13" s="318">
        <v>1131</v>
      </c>
      <c r="B13" s="316" t="s">
        <v>257</v>
      </c>
      <c r="C13" s="366">
        <v>0</v>
      </c>
      <c r="D13" s="366">
        <v>0</v>
      </c>
      <c r="E13" s="366">
        <v>22075940936</v>
      </c>
      <c r="F13" s="366">
        <v>22075940936</v>
      </c>
      <c r="G13" s="366">
        <v>58335310075</v>
      </c>
      <c r="H13" s="366">
        <v>58335310075</v>
      </c>
      <c r="I13" s="366">
        <v>0</v>
      </c>
      <c r="J13" s="366">
        <v>0</v>
      </c>
      <c r="K13" s="354"/>
      <c r="L13" s="354"/>
    </row>
    <row r="14" spans="1:12" ht="18.75" customHeight="1">
      <c r="A14" s="318">
        <v>1212</v>
      </c>
      <c r="B14" s="316" t="s">
        <v>446</v>
      </c>
      <c r="C14" s="366">
        <v>20000000</v>
      </c>
      <c r="D14" s="366">
        <v>0</v>
      </c>
      <c r="E14" s="366" t="s">
        <v>641</v>
      </c>
      <c r="F14" s="366" t="s">
        <v>641</v>
      </c>
      <c r="G14" s="366" t="s">
        <v>641</v>
      </c>
      <c r="H14" s="366" t="s">
        <v>641</v>
      </c>
      <c r="I14" s="366">
        <v>20000000</v>
      </c>
      <c r="J14" s="366">
        <v>0</v>
      </c>
      <c r="K14" s="354"/>
      <c r="L14" s="354"/>
    </row>
    <row r="15" spans="1:12" ht="18.75" customHeight="1">
      <c r="A15" s="318">
        <v>131</v>
      </c>
      <c r="B15" s="316" t="s">
        <v>449</v>
      </c>
      <c r="C15" s="366">
        <v>7382152898</v>
      </c>
      <c r="D15" s="366">
        <v>0</v>
      </c>
      <c r="E15" s="366">
        <v>103627381129</v>
      </c>
      <c r="F15" s="366">
        <v>132716262060</v>
      </c>
      <c r="G15" s="366">
        <v>358026540994</v>
      </c>
      <c r="H15" s="366">
        <v>351792525835</v>
      </c>
      <c r="I15" s="366">
        <v>13616168057</v>
      </c>
      <c r="J15" s="366">
        <v>0</v>
      </c>
      <c r="K15" s="354"/>
      <c r="L15" s="354"/>
    </row>
    <row r="16" spans="1:12" s="21" customFormat="1" ht="18.75" customHeight="1">
      <c r="A16" s="319">
        <v>1331</v>
      </c>
      <c r="B16" s="471" t="s">
        <v>9</v>
      </c>
      <c r="C16" s="366">
        <v>7342437947</v>
      </c>
      <c r="D16" s="366">
        <v>0</v>
      </c>
      <c r="E16" s="366">
        <v>3962365951</v>
      </c>
      <c r="F16" s="366">
        <v>465762755</v>
      </c>
      <c r="G16" s="366">
        <v>11996108074</v>
      </c>
      <c r="H16" s="366">
        <v>9915729599</v>
      </c>
      <c r="I16" s="366">
        <v>9422816422</v>
      </c>
      <c r="J16" s="366">
        <v>0</v>
      </c>
      <c r="K16" s="354"/>
      <c r="L16" s="354"/>
    </row>
    <row r="17" spans="1:12" ht="18.75" customHeight="1">
      <c r="A17" s="319">
        <v>1361</v>
      </c>
      <c r="B17" s="357" t="s">
        <v>451</v>
      </c>
      <c r="C17" s="366">
        <v>0</v>
      </c>
      <c r="D17" s="366">
        <v>0</v>
      </c>
      <c r="E17" s="366">
        <v>15680852960</v>
      </c>
      <c r="F17" s="366">
        <v>15680852960</v>
      </c>
      <c r="G17" s="366">
        <v>51416919168</v>
      </c>
      <c r="H17" s="366">
        <v>51416919168</v>
      </c>
      <c r="I17" s="366">
        <v>0</v>
      </c>
      <c r="J17" s="366">
        <v>0</v>
      </c>
      <c r="K17" s="354"/>
      <c r="L17" s="354"/>
    </row>
    <row r="18" spans="1:12" ht="18.75" customHeight="1">
      <c r="A18" s="318">
        <v>1388</v>
      </c>
      <c r="B18" s="316" t="s">
        <v>256</v>
      </c>
      <c r="C18" s="366">
        <v>270895500</v>
      </c>
      <c r="D18" s="366">
        <v>0</v>
      </c>
      <c r="E18" s="366">
        <v>132352830</v>
      </c>
      <c r="F18" s="366">
        <v>449666024</v>
      </c>
      <c r="G18" s="366">
        <v>775080464</v>
      </c>
      <c r="H18" s="366">
        <v>937533106</v>
      </c>
      <c r="I18" s="366">
        <v>108442858</v>
      </c>
      <c r="J18" s="366" t="s">
        <v>641</v>
      </c>
      <c r="K18" s="354"/>
      <c r="L18" s="354"/>
    </row>
    <row r="19" spans="1:12" s="21" customFormat="1" ht="18.75" customHeight="1">
      <c r="A19" s="319">
        <v>141</v>
      </c>
      <c r="B19" s="471" t="s">
        <v>13</v>
      </c>
      <c r="C19" s="366">
        <v>302559878</v>
      </c>
      <c r="D19" s="366">
        <v>0</v>
      </c>
      <c r="E19" s="366">
        <v>1256214607</v>
      </c>
      <c r="F19" s="366">
        <v>1239545400</v>
      </c>
      <c r="G19" s="366">
        <v>4152361116</v>
      </c>
      <c r="H19" s="366">
        <v>4019895409</v>
      </c>
      <c r="I19" s="366">
        <v>435025585</v>
      </c>
      <c r="J19" s="366">
        <v>0</v>
      </c>
      <c r="K19" s="354"/>
      <c r="L19" s="354"/>
    </row>
    <row r="20" spans="1:12" ht="18.75" customHeight="1">
      <c r="A20" s="318">
        <v>1422</v>
      </c>
      <c r="B20" s="316" t="s">
        <v>255</v>
      </c>
      <c r="C20" s="366">
        <v>110077463</v>
      </c>
      <c r="D20" s="366">
        <v>0</v>
      </c>
      <c r="E20" s="366" t="s">
        <v>641</v>
      </c>
      <c r="F20" s="366" t="s">
        <v>641</v>
      </c>
      <c r="G20" s="366">
        <v>840229490</v>
      </c>
      <c r="H20" s="366">
        <v>950306953</v>
      </c>
      <c r="I20" s="366">
        <v>0</v>
      </c>
      <c r="J20" s="366">
        <v>0</v>
      </c>
      <c r="K20" s="354"/>
      <c r="L20" s="354"/>
    </row>
    <row r="21" spans="1:12" s="21" customFormat="1" ht="18.75" customHeight="1">
      <c r="A21" s="318">
        <v>1521</v>
      </c>
      <c r="B21" s="472" t="s">
        <v>14</v>
      </c>
      <c r="C21" s="366">
        <v>9639012876</v>
      </c>
      <c r="D21" s="366">
        <v>0</v>
      </c>
      <c r="E21" s="366">
        <v>33532841486</v>
      </c>
      <c r="F21" s="366">
        <v>36878167592</v>
      </c>
      <c r="G21" s="366">
        <v>115650612819</v>
      </c>
      <c r="H21" s="366">
        <v>112914514134</v>
      </c>
      <c r="I21" s="366">
        <v>12375111561</v>
      </c>
      <c r="J21" s="366">
        <v>0</v>
      </c>
      <c r="K21" s="354"/>
      <c r="L21" s="354"/>
    </row>
    <row r="22" spans="1:12" ht="18.75" customHeight="1">
      <c r="A22" s="318">
        <v>1522</v>
      </c>
      <c r="B22" s="472" t="s">
        <v>15</v>
      </c>
      <c r="C22" s="366">
        <v>3125533966</v>
      </c>
      <c r="D22" s="366">
        <v>0</v>
      </c>
      <c r="E22" s="366">
        <v>13217702152</v>
      </c>
      <c r="F22" s="366">
        <v>12958792319</v>
      </c>
      <c r="G22" s="366">
        <v>47193500432</v>
      </c>
      <c r="H22" s="366">
        <v>45050343394</v>
      </c>
      <c r="I22" s="366">
        <v>5268691004</v>
      </c>
      <c r="J22" s="366">
        <v>0</v>
      </c>
      <c r="K22" s="354"/>
      <c r="L22" s="354"/>
    </row>
    <row r="23" spans="1:12" ht="18.75" customHeight="1">
      <c r="A23" s="318">
        <v>1523</v>
      </c>
      <c r="B23" s="472" t="s">
        <v>16</v>
      </c>
      <c r="C23" s="366">
        <v>34667591</v>
      </c>
      <c r="D23" s="366">
        <v>0</v>
      </c>
      <c r="E23" s="366">
        <v>932112043</v>
      </c>
      <c r="F23" s="366">
        <v>857505493</v>
      </c>
      <c r="G23" s="366">
        <v>2052807201</v>
      </c>
      <c r="H23" s="366">
        <v>1968150755</v>
      </c>
      <c r="I23" s="366">
        <v>119324037</v>
      </c>
      <c r="J23" s="366">
        <v>0</v>
      </c>
      <c r="K23" s="354"/>
      <c r="L23" s="354"/>
    </row>
    <row r="24" spans="1:12" ht="18.75" customHeight="1">
      <c r="A24" s="318">
        <v>1524</v>
      </c>
      <c r="B24" s="472" t="s">
        <v>657</v>
      </c>
      <c r="C24" s="366">
        <v>20162444</v>
      </c>
      <c r="D24" s="366">
        <v>0</v>
      </c>
      <c r="E24" s="366">
        <v>12557400</v>
      </c>
      <c r="F24" s="366">
        <v>22034726</v>
      </c>
      <c r="G24" s="366">
        <v>60864738</v>
      </c>
      <c r="H24" s="366">
        <v>67719253</v>
      </c>
      <c r="I24" s="366">
        <v>13307929</v>
      </c>
      <c r="J24" s="366">
        <v>0</v>
      </c>
      <c r="K24" s="354"/>
      <c r="L24" s="354"/>
    </row>
    <row r="25" spans="1:12" ht="18.75" customHeight="1">
      <c r="A25" s="318">
        <v>1526</v>
      </c>
      <c r="B25" s="472" t="s">
        <v>658</v>
      </c>
      <c r="C25" s="366">
        <v>196184389</v>
      </c>
      <c r="D25" s="366">
        <v>0</v>
      </c>
      <c r="E25" s="366" t="s">
        <v>641</v>
      </c>
      <c r="F25" s="366">
        <v>26991341</v>
      </c>
      <c r="G25" s="366" t="s">
        <v>641</v>
      </c>
      <c r="H25" s="366">
        <v>70948559</v>
      </c>
      <c r="I25" s="366">
        <v>125235830</v>
      </c>
      <c r="J25" s="366">
        <v>0</v>
      </c>
      <c r="K25" s="354"/>
      <c r="L25" s="354"/>
    </row>
    <row r="26" spans="1:12" ht="18.75" customHeight="1">
      <c r="A26" s="318">
        <v>1531</v>
      </c>
      <c r="B26" s="472" t="s">
        <v>19</v>
      </c>
      <c r="C26" s="366">
        <v>424340586</v>
      </c>
      <c r="D26" s="366">
        <v>0</v>
      </c>
      <c r="E26" s="366">
        <v>435408289</v>
      </c>
      <c r="F26" s="366">
        <v>456293379</v>
      </c>
      <c r="G26" s="366">
        <v>1790838728</v>
      </c>
      <c r="H26" s="366">
        <v>1859980433</v>
      </c>
      <c r="I26" s="366">
        <v>355198881</v>
      </c>
      <c r="J26" s="366">
        <v>0</v>
      </c>
      <c r="K26" s="354"/>
      <c r="L26" s="354"/>
    </row>
    <row r="27" spans="1:12" ht="18.75" customHeight="1">
      <c r="A27" s="318">
        <v>1532</v>
      </c>
      <c r="B27" s="472" t="s">
        <v>17</v>
      </c>
      <c r="C27" s="366">
        <v>62999554</v>
      </c>
      <c r="D27" s="366">
        <v>0</v>
      </c>
      <c r="E27" s="366">
        <v>1143223225</v>
      </c>
      <c r="F27" s="366">
        <v>1158482308</v>
      </c>
      <c r="G27" s="366">
        <v>3237680523</v>
      </c>
      <c r="H27" s="366">
        <v>3057506853</v>
      </c>
      <c r="I27" s="366">
        <v>243173224</v>
      </c>
      <c r="J27" s="366">
        <v>0</v>
      </c>
      <c r="K27" s="354"/>
      <c r="L27" s="354"/>
    </row>
    <row r="28" spans="1:12" s="21" customFormat="1" ht="18.75" customHeight="1">
      <c r="A28" s="319">
        <v>153</v>
      </c>
      <c r="B28" s="471" t="s">
        <v>18</v>
      </c>
      <c r="C28" s="483">
        <v>487340140</v>
      </c>
      <c r="D28" s="483">
        <v>0</v>
      </c>
      <c r="E28" s="483">
        <v>1578631514</v>
      </c>
      <c r="F28" s="483">
        <v>1614775687</v>
      </c>
      <c r="G28" s="483">
        <v>5028519251</v>
      </c>
      <c r="H28" s="483">
        <v>4917487286</v>
      </c>
      <c r="I28" s="483">
        <v>598372105</v>
      </c>
      <c r="J28" s="483">
        <v>0</v>
      </c>
      <c r="K28" s="484"/>
      <c r="L28" s="484"/>
    </row>
    <row r="29" spans="1:12" ht="18.75" customHeight="1">
      <c r="A29" s="318">
        <v>154</v>
      </c>
      <c r="B29" s="472" t="s">
        <v>20</v>
      </c>
      <c r="C29" s="366">
        <v>0</v>
      </c>
      <c r="D29" s="366">
        <v>0</v>
      </c>
      <c r="E29" s="366">
        <v>79303270996</v>
      </c>
      <c r="F29" s="366">
        <v>79303270996</v>
      </c>
      <c r="G29" s="366">
        <v>264714193779</v>
      </c>
      <c r="H29" s="366">
        <v>264714193779</v>
      </c>
      <c r="I29" s="366">
        <v>0</v>
      </c>
      <c r="J29" s="366">
        <v>0</v>
      </c>
      <c r="K29" s="354"/>
      <c r="L29" s="354"/>
    </row>
    <row r="30" spans="1:12" ht="18.75" customHeight="1">
      <c r="A30" s="318">
        <v>155</v>
      </c>
      <c r="B30" s="472" t="s">
        <v>21</v>
      </c>
      <c r="C30" s="366">
        <v>13372413696</v>
      </c>
      <c r="D30" s="366">
        <v>0</v>
      </c>
      <c r="E30" s="366">
        <v>79303770996</v>
      </c>
      <c r="F30" s="366">
        <v>76462300484</v>
      </c>
      <c r="G30" s="366">
        <v>264714693779</v>
      </c>
      <c r="H30" s="366">
        <v>268199956714</v>
      </c>
      <c r="I30" s="366">
        <v>9887150761</v>
      </c>
      <c r="J30" s="366">
        <v>0</v>
      </c>
      <c r="K30" s="354"/>
      <c r="L30" s="354"/>
    </row>
    <row r="31" spans="1:12" ht="18.75" customHeight="1">
      <c r="A31" s="318">
        <v>161</v>
      </c>
      <c r="B31" s="472" t="s">
        <v>659</v>
      </c>
      <c r="C31" s="366">
        <v>19000000</v>
      </c>
      <c r="D31" s="366">
        <v>0</v>
      </c>
      <c r="E31" s="366">
        <v>0</v>
      </c>
      <c r="F31" s="366">
        <v>0</v>
      </c>
      <c r="G31" s="366" t="s">
        <v>641</v>
      </c>
      <c r="H31" s="366" t="s">
        <v>641</v>
      </c>
      <c r="I31" s="366">
        <v>19000000</v>
      </c>
      <c r="J31" s="366">
        <v>0</v>
      </c>
      <c r="K31" s="354"/>
      <c r="L31" s="354"/>
    </row>
    <row r="32" spans="1:12" ht="18.75" customHeight="1">
      <c r="A32" s="318">
        <v>2112</v>
      </c>
      <c r="B32" s="472" t="s">
        <v>648</v>
      </c>
      <c r="C32" s="366">
        <v>56515923614</v>
      </c>
      <c r="D32" s="366">
        <v>0</v>
      </c>
      <c r="E32" s="366">
        <v>0</v>
      </c>
      <c r="F32" s="366">
        <v>0</v>
      </c>
      <c r="G32" s="366">
        <v>560244002</v>
      </c>
      <c r="H32" s="366">
        <v>107370000</v>
      </c>
      <c r="I32" s="366">
        <v>56968797616</v>
      </c>
      <c r="J32" s="366">
        <v>0</v>
      </c>
      <c r="K32" s="354"/>
      <c r="L32" s="354"/>
    </row>
    <row r="33" spans="1:12" ht="18.75" customHeight="1">
      <c r="A33" s="318">
        <v>2113</v>
      </c>
      <c r="B33" s="472" t="s">
        <v>649</v>
      </c>
      <c r="C33" s="366">
        <v>32780873121</v>
      </c>
      <c r="D33" s="366">
        <v>0</v>
      </c>
      <c r="E33" s="366">
        <v>2643854074</v>
      </c>
      <c r="F33" s="366">
        <v>372107832</v>
      </c>
      <c r="G33" s="366">
        <v>5375818485</v>
      </c>
      <c r="H33" s="366">
        <v>409459832</v>
      </c>
      <c r="I33" s="366">
        <v>37747231774</v>
      </c>
      <c r="J33" s="366">
        <v>0</v>
      </c>
      <c r="K33" s="354"/>
      <c r="L33" s="354"/>
    </row>
    <row r="34" spans="1:12" ht="18.75" customHeight="1">
      <c r="A34" s="318">
        <v>2114</v>
      </c>
      <c r="B34" s="472" t="s">
        <v>650</v>
      </c>
      <c r="C34" s="366">
        <v>4099570859</v>
      </c>
      <c r="D34" s="366">
        <v>0</v>
      </c>
      <c r="E34" s="366">
        <v>0</v>
      </c>
      <c r="F34" s="366">
        <v>0</v>
      </c>
      <c r="G34" s="366">
        <v>0</v>
      </c>
      <c r="H34" s="366">
        <v>256654000</v>
      </c>
      <c r="I34" s="366">
        <v>3842916859</v>
      </c>
      <c r="J34" s="366">
        <v>0</v>
      </c>
      <c r="K34" s="354"/>
      <c r="L34" s="354"/>
    </row>
    <row r="35" spans="1:12" ht="18.75" customHeight="1">
      <c r="A35" s="318">
        <v>2115</v>
      </c>
      <c r="B35" s="472" t="s">
        <v>660</v>
      </c>
      <c r="C35" s="366">
        <v>3405936559</v>
      </c>
      <c r="D35" s="366">
        <v>0</v>
      </c>
      <c r="E35" s="366">
        <v>21494000</v>
      </c>
      <c r="F35" s="366">
        <v>0</v>
      </c>
      <c r="G35" s="366">
        <v>344579209</v>
      </c>
      <c r="H35" s="366">
        <v>17000000</v>
      </c>
      <c r="I35" s="366">
        <v>3733515768</v>
      </c>
      <c r="J35" s="366">
        <v>0</v>
      </c>
      <c r="K35" s="354"/>
      <c r="L35" s="354"/>
    </row>
    <row r="36" spans="1:12" s="21" customFormat="1" ht="18.75" customHeight="1">
      <c r="A36" s="319">
        <v>211</v>
      </c>
      <c r="B36" s="471" t="s">
        <v>651</v>
      </c>
      <c r="C36" s="366">
        <v>96802304153</v>
      </c>
      <c r="D36" s="366">
        <v>0</v>
      </c>
      <c r="E36" s="366">
        <v>2665348074</v>
      </c>
      <c r="F36" s="366">
        <v>372107832</v>
      </c>
      <c r="G36" s="366">
        <v>6280641696</v>
      </c>
      <c r="H36" s="366">
        <v>790483832</v>
      </c>
      <c r="I36" s="366">
        <v>102292462017</v>
      </c>
      <c r="J36" s="366">
        <v>0</v>
      </c>
      <c r="K36" s="354"/>
      <c r="L36" s="354"/>
    </row>
    <row r="37" spans="1:12" ht="18.75" customHeight="1">
      <c r="A37" s="355" t="s">
        <v>392</v>
      </c>
      <c r="B37" s="355" t="s">
        <v>394</v>
      </c>
      <c r="C37" s="366"/>
      <c r="D37" s="366"/>
      <c r="E37" s="366">
        <v>20000000</v>
      </c>
      <c r="F37" s="366">
        <v>0</v>
      </c>
      <c r="G37" s="366">
        <v>20000000</v>
      </c>
      <c r="H37" s="366">
        <v>0</v>
      </c>
      <c r="I37" s="366">
        <v>20000000</v>
      </c>
      <c r="J37" s="366">
        <v>0</v>
      </c>
      <c r="K37" s="354"/>
      <c r="L37" s="354"/>
    </row>
    <row r="38" spans="1:12" ht="18.75" customHeight="1">
      <c r="A38" s="355" t="s">
        <v>393</v>
      </c>
      <c r="B38" s="355" t="s">
        <v>395</v>
      </c>
      <c r="C38" s="366"/>
      <c r="D38" s="366"/>
      <c r="E38" s="366">
        <v>43994880</v>
      </c>
      <c r="F38" s="366">
        <v>0</v>
      </c>
      <c r="G38" s="366">
        <v>43994880</v>
      </c>
      <c r="H38" s="366">
        <v>0</v>
      </c>
      <c r="I38" s="366">
        <v>43994880</v>
      </c>
      <c r="J38" s="366">
        <v>0</v>
      </c>
      <c r="K38" s="354"/>
      <c r="L38" s="354"/>
    </row>
    <row r="39" spans="1:12" ht="18.75" customHeight="1">
      <c r="A39" s="318">
        <v>21358</v>
      </c>
      <c r="B39" s="472" t="s">
        <v>653</v>
      </c>
      <c r="C39" s="366">
        <v>10000000</v>
      </c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10000000</v>
      </c>
      <c r="J39" s="366">
        <v>0</v>
      </c>
      <c r="K39" s="354"/>
      <c r="L39" s="354"/>
    </row>
    <row r="40" spans="1:12" s="21" customFormat="1" ht="18.75" customHeight="1">
      <c r="A40" s="319">
        <v>2113</v>
      </c>
      <c r="B40" s="471" t="s">
        <v>724</v>
      </c>
      <c r="C40" s="483">
        <v>10000000</v>
      </c>
      <c r="D40" s="483">
        <v>0</v>
      </c>
      <c r="E40" s="483">
        <v>63994880</v>
      </c>
      <c r="F40" s="483">
        <v>0</v>
      </c>
      <c r="G40" s="483">
        <v>63994880</v>
      </c>
      <c r="H40" s="483">
        <v>0</v>
      </c>
      <c r="I40" s="483">
        <v>73994880</v>
      </c>
      <c r="J40" s="483">
        <v>0</v>
      </c>
      <c r="K40" s="354"/>
      <c r="L40" s="354"/>
    </row>
    <row r="41" spans="1:12" s="21" customFormat="1" ht="18.75" customHeight="1">
      <c r="A41" s="319">
        <v>211</v>
      </c>
      <c r="B41" s="471" t="s">
        <v>652</v>
      </c>
      <c r="C41" s="483">
        <v>96812304153</v>
      </c>
      <c r="D41" s="483">
        <v>0</v>
      </c>
      <c r="E41" s="483">
        <v>2729342954</v>
      </c>
      <c r="F41" s="483">
        <v>372107832</v>
      </c>
      <c r="G41" s="483">
        <v>6344636576</v>
      </c>
      <c r="H41" s="483">
        <v>790483832</v>
      </c>
      <c r="I41" s="483">
        <v>102366456897</v>
      </c>
      <c r="J41" s="483">
        <v>0</v>
      </c>
      <c r="K41" s="484"/>
      <c r="L41" s="484"/>
    </row>
    <row r="42" spans="1:12" ht="18.75" customHeight="1">
      <c r="A42" s="318">
        <v>2141</v>
      </c>
      <c r="B42" s="472" t="s">
        <v>654</v>
      </c>
      <c r="C42" s="366">
        <v>0</v>
      </c>
      <c r="D42" s="366">
        <v>45978135214</v>
      </c>
      <c r="E42" s="366">
        <v>341041815</v>
      </c>
      <c r="F42" s="366">
        <v>1148821502</v>
      </c>
      <c r="G42" s="366">
        <v>677048814</v>
      </c>
      <c r="H42" s="366">
        <v>8392667012</v>
      </c>
      <c r="I42" s="366">
        <v>0</v>
      </c>
      <c r="J42" s="366">
        <v>53693753412</v>
      </c>
      <c r="K42" s="354"/>
      <c r="L42" s="354"/>
    </row>
    <row r="43" spans="1:12" ht="18.75" customHeight="1">
      <c r="A43" s="318">
        <v>21438</v>
      </c>
      <c r="B43" s="472" t="s">
        <v>661</v>
      </c>
      <c r="C43" s="366" t="s">
        <v>641</v>
      </c>
      <c r="D43" s="366">
        <v>10000000</v>
      </c>
      <c r="E43" s="366">
        <v>0</v>
      </c>
      <c r="F43" s="366">
        <v>0</v>
      </c>
      <c r="G43" s="366" t="s">
        <v>641</v>
      </c>
      <c r="H43" s="366" t="s">
        <v>641</v>
      </c>
      <c r="I43" s="366">
        <v>0</v>
      </c>
      <c r="J43" s="366">
        <v>10000000</v>
      </c>
      <c r="K43" s="354"/>
      <c r="L43" s="354"/>
    </row>
    <row r="44" spans="1:12" ht="18.75" customHeight="1">
      <c r="A44" s="318">
        <v>2281</v>
      </c>
      <c r="B44" s="472" t="s">
        <v>662</v>
      </c>
      <c r="C44" s="366">
        <v>1661880000</v>
      </c>
      <c r="D44" s="366">
        <v>0</v>
      </c>
      <c r="E44" s="366">
        <v>0</v>
      </c>
      <c r="F44" s="366">
        <v>0</v>
      </c>
      <c r="G44" s="366" t="s">
        <v>641</v>
      </c>
      <c r="H44" s="366" t="s">
        <v>641</v>
      </c>
      <c r="I44" s="366">
        <v>1661880000</v>
      </c>
      <c r="J44" s="366">
        <v>0</v>
      </c>
      <c r="K44" s="354"/>
      <c r="L44" s="354"/>
    </row>
    <row r="45" spans="1:12" ht="18.75" customHeight="1">
      <c r="A45" s="318">
        <v>2282</v>
      </c>
      <c r="B45" s="472" t="s">
        <v>663</v>
      </c>
      <c r="C45" s="366">
        <v>4341000000</v>
      </c>
      <c r="D45" s="366">
        <v>0</v>
      </c>
      <c r="E45" s="366">
        <v>0</v>
      </c>
      <c r="F45" s="366">
        <v>0</v>
      </c>
      <c r="G45" s="366">
        <v>3217217040</v>
      </c>
      <c r="H45" s="366">
        <v>7558217040</v>
      </c>
      <c r="I45" s="366">
        <v>0</v>
      </c>
      <c r="J45" s="366">
        <v>0</v>
      </c>
      <c r="K45" s="354"/>
      <c r="L45" s="354"/>
    </row>
    <row r="46" spans="1:12" ht="18.75" customHeight="1">
      <c r="A46" s="318">
        <v>2283</v>
      </c>
      <c r="B46" s="472" t="s">
        <v>664</v>
      </c>
      <c r="C46" s="366">
        <v>200000000</v>
      </c>
      <c r="D46" s="366">
        <v>0</v>
      </c>
      <c r="E46" s="366" t="s">
        <v>641</v>
      </c>
      <c r="F46" s="366" t="s">
        <v>641</v>
      </c>
      <c r="G46" s="366" t="s">
        <v>641</v>
      </c>
      <c r="H46" s="366" t="s">
        <v>641</v>
      </c>
      <c r="I46" s="366">
        <v>200000000</v>
      </c>
      <c r="J46" s="366">
        <v>0</v>
      </c>
      <c r="K46" s="354"/>
      <c r="L46" s="354"/>
    </row>
    <row r="47" spans="1:12" ht="18.75" customHeight="1">
      <c r="A47" s="318">
        <v>2284</v>
      </c>
      <c r="B47" s="472" t="s">
        <v>421</v>
      </c>
      <c r="C47" s="366">
        <v>0</v>
      </c>
      <c r="D47" s="366">
        <v>0</v>
      </c>
      <c r="E47" s="366">
        <v>0</v>
      </c>
      <c r="F47" s="366">
        <v>0</v>
      </c>
      <c r="G47" s="366">
        <v>1919150000</v>
      </c>
      <c r="H47" s="366" t="s">
        <v>641</v>
      </c>
      <c r="I47" s="366">
        <v>1919150000</v>
      </c>
      <c r="J47" s="366">
        <v>0</v>
      </c>
      <c r="K47" s="354"/>
      <c r="L47" s="354"/>
    </row>
    <row r="48" spans="1:12" ht="18.75" customHeight="1">
      <c r="A48" s="318">
        <v>2285</v>
      </c>
      <c r="B48" s="472" t="s">
        <v>422</v>
      </c>
      <c r="C48" s="366">
        <v>0</v>
      </c>
      <c r="D48" s="366">
        <v>0</v>
      </c>
      <c r="E48" s="366">
        <v>0</v>
      </c>
      <c r="F48" s="366">
        <v>0</v>
      </c>
      <c r="G48" s="366">
        <v>445400000</v>
      </c>
      <c r="H48" s="366" t="s">
        <v>641</v>
      </c>
      <c r="I48" s="366">
        <v>445400000</v>
      </c>
      <c r="J48" s="366">
        <v>0</v>
      </c>
      <c r="K48" s="354"/>
      <c r="L48" s="354"/>
    </row>
    <row r="49" spans="1:12" ht="18.75" customHeight="1">
      <c r="A49" s="355" t="s">
        <v>389</v>
      </c>
      <c r="B49" s="355" t="s">
        <v>400</v>
      </c>
      <c r="C49" s="366"/>
      <c r="D49" s="366"/>
      <c r="E49" s="366">
        <v>100000000</v>
      </c>
      <c r="F49" s="366">
        <v>0</v>
      </c>
      <c r="G49" s="366">
        <v>100000000</v>
      </c>
      <c r="H49" s="366" t="s">
        <v>641</v>
      </c>
      <c r="I49" s="366">
        <v>100000000</v>
      </c>
      <c r="J49" s="366">
        <v>0</v>
      </c>
      <c r="K49" s="354"/>
      <c r="L49" s="354"/>
    </row>
    <row r="50" spans="1:12" ht="18.75" customHeight="1">
      <c r="A50" s="355" t="s">
        <v>390</v>
      </c>
      <c r="B50" s="355" t="s">
        <v>391</v>
      </c>
      <c r="C50" s="366"/>
      <c r="D50" s="366"/>
      <c r="E50" s="366">
        <v>3207000000</v>
      </c>
      <c r="F50" s="366">
        <v>0</v>
      </c>
      <c r="G50" s="366">
        <v>3207000000</v>
      </c>
      <c r="H50" s="366" t="s">
        <v>641</v>
      </c>
      <c r="I50" s="366">
        <v>3207000000</v>
      </c>
      <c r="J50" s="366">
        <v>0</v>
      </c>
      <c r="K50" s="354"/>
      <c r="L50" s="354"/>
    </row>
    <row r="51" spans="1:12" ht="18.75" customHeight="1">
      <c r="A51" s="318">
        <v>24126</v>
      </c>
      <c r="B51" s="472" t="s">
        <v>423</v>
      </c>
      <c r="C51" s="366">
        <v>0</v>
      </c>
      <c r="D51" s="366">
        <v>0</v>
      </c>
      <c r="E51" s="366">
        <v>0</v>
      </c>
      <c r="F51" s="366">
        <v>0</v>
      </c>
      <c r="G51" s="366">
        <v>179090909</v>
      </c>
      <c r="H51" s="366" t="s">
        <v>641</v>
      </c>
      <c r="I51" s="366">
        <v>179090909</v>
      </c>
      <c r="J51" s="366">
        <v>0</v>
      </c>
      <c r="K51" s="354"/>
      <c r="L51" s="354"/>
    </row>
    <row r="52" spans="1:12" ht="18.75" customHeight="1">
      <c r="A52" s="318">
        <v>24129</v>
      </c>
      <c r="B52" s="472" t="s">
        <v>311</v>
      </c>
      <c r="C52" s="366">
        <v>0</v>
      </c>
      <c r="D52" s="366">
        <v>0</v>
      </c>
      <c r="E52" s="366">
        <v>8207717696</v>
      </c>
      <c r="F52" s="366">
        <v>0</v>
      </c>
      <c r="G52" s="366">
        <v>8218626787</v>
      </c>
      <c r="H52" s="366" t="s">
        <v>641</v>
      </c>
      <c r="I52" s="366">
        <v>8218626787</v>
      </c>
      <c r="J52" s="366">
        <v>0</v>
      </c>
      <c r="K52" s="354"/>
      <c r="L52" s="354"/>
    </row>
    <row r="53" spans="1:12" ht="18.75" customHeight="1">
      <c r="A53" s="318">
        <v>242</v>
      </c>
      <c r="B53" s="472" t="s">
        <v>611</v>
      </c>
      <c r="C53" s="366">
        <v>2469543994</v>
      </c>
      <c r="D53" s="366">
        <v>0</v>
      </c>
      <c r="E53" s="366">
        <v>427668020</v>
      </c>
      <c r="F53" s="366">
        <v>312135028</v>
      </c>
      <c r="G53" s="366">
        <v>1102870730</v>
      </c>
      <c r="H53" s="366">
        <v>1121863222</v>
      </c>
      <c r="I53" s="366">
        <v>2450551502</v>
      </c>
      <c r="J53" s="366">
        <v>0</v>
      </c>
      <c r="K53" s="354"/>
      <c r="L53" s="354"/>
    </row>
    <row r="54" spans="1:12" ht="18.75" customHeight="1">
      <c r="A54" s="318">
        <v>244</v>
      </c>
      <c r="B54" s="472" t="s">
        <v>665</v>
      </c>
      <c r="C54" s="366">
        <v>282601947</v>
      </c>
      <c r="D54" s="366">
        <v>0</v>
      </c>
      <c r="E54" s="366">
        <v>0</v>
      </c>
      <c r="F54" s="366">
        <v>3000000</v>
      </c>
      <c r="G54" s="366" t="s">
        <v>641</v>
      </c>
      <c r="H54" s="366">
        <v>3000000</v>
      </c>
      <c r="I54" s="366">
        <v>279601947</v>
      </c>
      <c r="J54" s="366">
        <v>0</v>
      </c>
      <c r="K54" s="354"/>
      <c r="L54" s="354"/>
    </row>
    <row r="55" spans="1:12" ht="18.75" customHeight="1">
      <c r="A55" s="318">
        <v>3111</v>
      </c>
      <c r="B55" s="472" t="s">
        <v>666</v>
      </c>
      <c r="C55" s="366" t="s">
        <v>641</v>
      </c>
      <c r="D55" s="366">
        <v>17925590449</v>
      </c>
      <c r="E55" s="366">
        <v>20191560249</v>
      </c>
      <c r="F55" s="366">
        <v>13583707742</v>
      </c>
      <c r="G55" s="366">
        <v>80204249210</v>
      </c>
      <c r="H55" s="366">
        <v>73883491706</v>
      </c>
      <c r="I55" s="366">
        <v>0</v>
      </c>
      <c r="J55" s="366">
        <v>11604832945</v>
      </c>
      <c r="K55" s="354"/>
      <c r="L55" s="354"/>
    </row>
    <row r="56" spans="1:12" ht="18.75" customHeight="1">
      <c r="A56" s="318">
        <v>3112</v>
      </c>
      <c r="B56" s="472" t="s">
        <v>667</v>
      </c>
      <c r="C56" s="366" t="s">
        <v>641</v>
      </c>
      <c r="D56" s="366">
        <v>11460277085</v>
      </c>
      <c r="E56" s="366">
        <v>31013584228</v>
      </c>
      <c r="F56" s="366">
        <v>7191988734</v>
      </c>
      <c r="G56" s="366">
        <v>77509877683</v>
      </c>
      <c r="H56" s="366">
        <v>71368755115</v>
      </c>
      <c r="I56" s="366">
        <v>0</v>
      </c>
      <c r="J56" s="366">
        <v>5319154517</v>
      </c>
      <c r="K56" s="354"/>
      <c r="L56" s="354"/>
    </row>
    <row r="57" spans="1:12" s="21" customFormat="1" ht="18.75" customHeight="1">
      <c r="A57" s="319">
        <v>311</v>
      </c>
      <c r="B57" s="471" t="s">
        <v>29</v>
      </c>
      <c r="C57" s="366">
        <v>0</v>
      </c>
      <c r="D57" s="366">
        <v>29385867534</v>
      </c>
      <c r="E57" s="366">
        <v>51205144477</v>
      </c>
      <c r="F57" s="366">
        <v>20775696476</v>
      </c>
      <c r="G57" s="366">
        <v>157714126893</v>
      </c>
      <c r="H57" s="366">
        <v>145252246821</v>
      </c>
      <c r="I57" s="366">
        <v>0</v>
      </c>
      <c r="J57" s="366">
        <v>16923987462</v>
      </c>
      <c r="K57" s="354"/>
      <c r="L57" s="354"/>
    </row>
    <row r="58" spans="1:12" ht="18.75" customHeight="1">
      <c r="A58" s="318">
        <v>331</v>
      </c>
      <c r="B58" s="472" t="s">
        <v>469</v>
      </c>
      <c r="C58" s="366" t="s">
        <v>641</v>
      </c>
      <c r="D58" s="366">
        <v>12985656606</v>
      </c>
      <c r="E58" s="366">
        <v>78273938964</v>
      </c>
      <c r="F58" s="366">
        <v>78051153377</v>
      </c>
      <c r="G58" s="366">
        <v>222369547372</v>
      </c>
      <c r="H58" s="366">
        <v>225604624572</v>
      </c>
      <c r="I58" s="366">
        <v>0</v>
      </c>
      <c r="J58" s="366">
        <v>16220733806</v>
      </c>
      <c r="K58" s="354"/>
      <c r="L58" s="354"/>
    </row>
    <row r="59" spans="1:12" s="21" customFormat="1" ht="18.75" customHeight="1">
      <c r="A59" s="319">
        <v>333111</v>
      </c>
      <c r="B59" s="471" t="s">
        <v>22</v>
      </c>
      <c r="C59" s="366">
        <v>0</v>
      </c>
      <c r="D59" s="366">
        <v>0</v>
      </c>
      <c r="E59" s="366">
        <v>354935803</v>
      </c>
      <c r="F59" s="366">
        <v>354935803</v>
      </c>
      <c r="G59" s="366">
        <v>676185200</v>
      </c>
      <c r="H59" s="366">
        <v>676185200</v>
      </c>
      <c r="I59" s="366">
        <v>0</v>
      </c>
      <c r="J59" s="366">
        <v>0</v>
      </c>
      <c r="K59" s="354"/>
      <c r="L59" s="354"/>
    </row>
    <row r="60" spans="1:12" ht="18.75" customHeight="1">
      <c r="A60" s="318">
        <v>33341</v>
      </c>
      <c r="B60" s="472" t="s">
        <v>668</v>
      </c>
      <c r="C60" s="366" t="s">
        <v>641</v>
      </c>
      <c r="D60" s="366">
        <v>620287900</v>
      </c>
      <c r="E60" s="366">
        <v>209655560</v>
      </c>
      <c r="F60" s="366">
        <v>419311122</v>
      </c>
      <c r="G60" s="366">
        <v>2541472252</v>
      </c>
      <c r="H60" s="366">
        <v>3159794919</v>
      </c>
      <c r="I60" s="366">
        <v>0</v>
      </c>
      <c r="J60" s="366">
        <v>1238610567</v>
      </c>
      <c r="K60" s="354"/>
      <c r="L60" s="354"/>
    </row>
    <row r="61" spans="1:12" ht="18.75" customHeight="1">
      <c r="A61" s="318">
        <v>33372</v>
      </c>
      <c r="B61" s="472" t="s">
        <v>669</v>
      </c>
      <c r="C61" s="366" t="s">
        <v>641</v>
      </c>
      <c r="D61" s="366">
        <v>8774906</v>
      </c>
      <c r="E61" s="366">
        <v>550660307</v>
      </c>
      <c r="F61" s="366">
        <v>287952777</v>
      </c>
      <c r="G61" s="366">
        <v>818349807</v>
      </c>
      <c r="H61" s="366">
        <v>1045859500</v>
      </c>
      <c r="I61" s="366">
        <v>0</v>
      </c>
      <c r="J61" s="366">
        <v>236284599</v>
      </c>
      <c r="K61" s="354"/>
      <c r="L61" s="354"/>
    </row>
    <row r="62" spans="1:12" ht="18.75" customHeight="1">
      <c r="A62" s="318">
        <v>3338</v>
      </c>
      <c r="B62" s="472" t="s">
        <v>670</v>
      </c>
      <c r="C62" s="366" t="s">
        <v>641</v>
      </c>
      <c r="D62" s="366">
        <v>0</v>
      </c>
      <c r="E62" s="366">
        <v>0</v>
      </c>
      <c r="F62" s="366">
        <v>0</v>
      </c>
      <c r="G62" s="366">
        <v>10000000</v>
      </c>
      <c r="H62" s="366">
        <v>10000000</v>
      </c>
      <c r="I62" s="366">
        <v>0</v>
      </c>
      <c r="J62" s="366">
        <v>0</v>
      </c>
      <c r="K62" s="354"/>
      <c r="L62" s="354"/>
    </row>
    <row r="63" spans="1:12" ht="18.75" customHeight="1">
      <c r="A63" s="318">
        <v>33391</v>
      </c>
      <c r="B63" s="472" t="s">
        <v>671</v>
      </c>
      <c r="C63" s="366" t="s">
        <v>641</v>
      </c>
      <c r="D63" s="366">
        <v>132727224</v>
      </c>
      <c r="E63" s="366">
        <v>86114289</v>
      </c>
      <c r="F63" s="366">
        <v>37916715</v>
      </c>
      <c r="G63" s="366">
        <v>218841513</v>
      </c>
      <c r="H63" s="366">
        <v>93826269</v>
      </c>
      <c r="I63" s="366" t="s">
        <v>641</v>
      </c>
      <c r="J63" s="366">
        <v>7711980</v>
      </c>
      <c r="K63" s="354"/>
      <c r="L63" s="354"/>
    </row>
    <row r="64" spans="1:12" ht="18.75" customHeight="1">
      <c r="A64" s="318">
        <v>33392</v>
      </c>
      <c r="B64" s="472" t="s">
        <v>672</v>
      </c>
      <c r="C64" s="366" t="s">
        <v>641</v>
      </c>
      <c r="D64" s="366">
        <v>20718901</v>
      </c>
      <c r="E64" s="366">
        <v>26362645</v>
      </c>
      <c r="F64" s="366">
        <v>18022747</v>
      </c>
      <c r="G64" s="366">
        <v>47081546</v>
      </c>
      <c r="H64" s="366">
        <v>26362645</v>
      </c>
      <c r="I64" s="366">
        <v>0</v>
      </c>
      <c r="J64" s="366">
        <v>0</v>
      </c>
      <c r="K64" s="354"/>
      <c r="L64" s="354"/>
    </row>
    <row r="65" spans="1:12" s="21" customFormat="1" ht="18.75" customHeight="1">
      <c r="A65" s="319">
        <v>334</v>
      </c>
      <c r="B65" s="471" t="s">
        <v>723</v>
      </c>
      <c r="C65" s="483">
        <v>170689994</v>
      </c>
      <c r="D65" s="483">
        <v>6080794170</v>
      </c>
      <c r="E65" s="483">
        <v>40567669690</v>
      </c>
      <c r="F65" s="483">
        <v>31788227393</v>
      </c>
      <c r="G65" s="483">
        <v>102386894599</v>
      </c>
      <c r="H65" s="483">
        <v>105069764926</v>
      </c>
      <c r="I65" s="483">
        <v>113858614</v>
      </c>
      <c r="J65" s="483">
        <v>8706833117</v>
      </c>
      <c r="K65" s="354"/>
      <c r="L65" s="354"/>
    </row>
    <row r="66" spans="1:12" s="21" customFormat="1" ht="18.75" customHeight="1">
      <c r="A66" s="318">
        <v>3351</v>
      </c>
      <c r="B66" s="472" t="s">
        <v>424</v>
      </c>
      <c r="C66" s="366">
        <v>0</v>
      </c>
      <c r="D66" s="366">
        <v>0</v>
      </c>
      <c r="E66" s="366">
        <v>209375989</v>
      </c>
      <c r="F66" s="366">
        <v>0</v>
      </c>
      <c r="G66" s="366">
        <v>697172059</v>
      </c>
      <c r="H66" s="366">
        <v>697172059</v>
      </c>
      <c r="I66" s="366">
        <v>0</v>
      </c>
      <c r="J66" s="366">
        <v>0</v>
      </c>
      <c r="K66" s="354"/>
      <c r="L66" s="354"/>
    </row>
    <row r="67" spans="1:12" s="21" customFormat="1" ht="18.75" customHeight="1">
      <c r="A67" s="318">
        <v>3352</v>
      </c>
      <c r="B67" s="472" t="s">
        <v>425</v>
      </c>
      <c r="C67" s="366">
        <v>0</v>
      </c>
      <c r="D67" s="366">
        <v>0</v>
      </c>
      <c r="E67" s="366">
        <v>629299092</v>
      </c>
      <c r="F67" s="366">
        <v>573754753</v>
      </c>
      <c r="G67" s="366">
        <v>937601121</v>
      </c>
      <c r="H67" s="366">
        <v>1221314564</v>
      </c>
      <c r="I67" s="366">
        <v>0</v>
      </c>
      <c r="J67" s="366">
        <v>283713443</v>
      </c>
      <c r="K67" s="354"/>
      <c r="L67" s="354"/>
    </row>
    <row r="68" spans="1:12" s="21" customFormat="1" ht="18.75" customHeight="1">
      <c r="A68" s="318">
        <v>3353</v>
      </c>
      <c r="B68" s="472" t="s">
        <v>426</v>
      </c>
      <c r="C68" s="366">
        <v>0</v>
      </c>
      <c r="D68" s="366">
        <v>0</v>
      </c>
      <c r="E68" s="366">
        <v>0</v>
      </c>
      <c r="F68" s="366">
        <v>80000000</v>
      </c>
      <c r="G68" s="366">
        <v>63255950</v>
      </c>
      <c r="H68" s="366">
        <v>143255950</v>
      </c>
      <c r="I68" s="366">
        <v>0</v>
      </c>
      <c r="J68" s="366">
        <v>80000000</v>
      </c>
      <c r="K68" s="354"/>
      <c r="L68" s="354"/>
    </row>
    <row r="69" spans="1:12" ht="18.75" customHeight="1">
      <c r="A69" s="318">
        <v>3382</v>
      </c>
      <c r="B69" s="472" t="s">
        <v>680</v>
      </c>
      <c r="C69" s="366" t="s">
        <v>641</v>
      </c>
      <c r="D69" s="366">
        <v>266733407</v>
      </c>
      <c r="E69" s="366">
        <v>216037970</v>
      </c>
      <c r="F69" s="366">
        <v>150377040</v>
      </c>
      <c r="G69" s="366">
        <v>689206277</v>
      </c>
      <c r="H69" s="366">
        <v>572852910</v>
      </c>
      <c r="I69" s="366">
        <v>0</v>
      </c>
      <c r="J69" s="366">
        <v>150380040</v>
      </c>
      <c r="K69" s="354"/>
      <c r="L69" s="354"/>
    </row>
    <row r="70" spans="1:12" s="21" customFormat="1" ht="18.75" customHeight="1">
      <c r="A70" s="319">
        <v>3383</v>
      </c>
      <c r="B70" s="471" t="s">
        <v>24</v>
      </c>
      <c r="C70" s="366">
        <v>2738071341</v>
      </c>
      <c r="D70" s="366">
        <v>2900729481</v>
      </c>
      <c r="E70" s="366">
        <v>1959490264</v>
      </c>
      <c r="F70" s="366">
        <v>2202280694</v>
      </c>
      <c r="G70" s="366">
        <v>7306803240</v>
      </c>
      <c r="H70" s="366">
        <v>7857282245</v>
      </c>
      <c r="I70" s="366">
        <v>4126809562</v>
      </c>
      <c r="J70" s="366">
        <v>4839946707</v>
      </c>
      <c r="K70" s="354"/>
      <c r="L70" s="354"/>
    </row>
    <row r="71" spans="1:12" s="21" customFormat="1" ht="18.75" customHeight="1">
      <c r="A71" s="319">
        <v>3388</v>
      </c>
      <c r="B71" s="471" t="s">
        <v>23</v>
      </c>
      <c r="C71" s="366">
        <v>0</v>
      </c>
      <c r="D71" s="366">
        <v>3349730113</v>
      </c>
      <c r="E71" s="366">
        <v>7585770599</v>
      </c>
      <c r="F71" s="366">
        <v>12594876583</v>
      </c>
      <c r="G71" s="366">
        <v>78450552516</v>
      </c>
      <c r="H71" s="366">
        <v>77563995662</v>
      </c>
      <c r="I71" s="366">
        <v>0</v>
      </c>
      <c r="J71" s="366">
        <v>2463173259</v>
      </c>
      <c r="K71" s="354"/>
      <c r="L71" s="354"/>
    </row>
    <row r="72" spans="1:12" ht="18.75" customHeight="1">
      <c r="A72" s="318">
        <v>3411</v>
      </c>
      <c r="B72" s="472" t="s">
        <v>682</v>
      </c>
      <c r="C72" s="366" t="s">
        <v>641</v>
      </c>
      <c r="D72" s="366">
        <v>990000000</v>
      </c>
      <c r="E72" s="366">
        <v>0</v>
      </c>
      <c r="F72" s="366">
        <v>0</v>
      </c>
      <c r="G72" s="366">
        <v>990000000</v>
      </c>
      <c r="H72" s="366" t="s">
        <v>641</v>
      </c>
      <c r="I72" s="366">
        <v>0</v>
      </c>
      <c r="J72" s="366">
        <v>0</v>
      </c>
      <c r="K72" s="354"/>
      <c r="L72" s="354"/>
    </row>
    <row r="73" spans="1:12" ht="18.75" customHeight="1">
      <c r="A73" s="318">
        <v>34121</v>
      </c>
      <c r="B73" s="472" t="s">
        <v>683</v>
      </c>
      <c r="C73" s="366" t="s">
        <v>641</v>
      </c>
      <c r="D73" s="366">
        <v>8923843501</v>
      </c>
      <c r="E73" s="366">
        <v>1500000000</v>
      </c>
      <c r="F73" s="366">
        <v>0</v>
      </c>
      <c r="G73" s="366">
        <v>6000000000</v>
      </c>
      <c r="H73" s="366" t="s">
        <v>641</v>
      </c>
      <c r="I73" s="366">
        <v>0</v>
      </c>
      <c r="J73" s="366">
        <v>2923843501</v>
      </c>
      <c r="K73" s="354"/>
      <c r="L73" s="354"/>
    </row>
    <row r="74" spans="1:12" ht="18.75" customHeight="1">
      <c r="A74" s="318">
        <v>34122</v>
      </c>
      <c r="B74" s="472" t="s">
        <v>684</v>
      </c>
      <c r="C74" s="366" t="s">
        <v>641</v>
      </c>
      <c r="D74" s="366">
        <v>6019125000</v>
      </c>
      <c r="E74" s="366">
        <v>5171400000</v>
      </c>
      <c r="F74" s="366">
        <v>0</v>
      </c>
      <c r="G74" s="366">
        <v>6019125000</v>
      </c>
      <c r="H74" s="366" t="s">
        <v>641</v>
      </c>
      <c r="I74" s="366">
        <v>0</v>
      </c>
      <c r="J74" s="366">
        <v>0</v>
      </c>
      <c r="K74" s="354"/>
      <c r="L74" s="354"/>
    </row>
    <row r="75" spans="1:12" ht="18.75" customHeight="1">
      <c r="A75" s="318">
        <v>351</v>
      </c>
      <c r="B75" s="472" t="s">
        <v>685</v>
      </c>
      <c r="C75" s="366" t="s">
        <v>641</v>
      </c>
      <c r="D75" s="366">
        <v>617769140</v>
      </c>
      <c r="E75" s="366">
        <v>21603700</v>
      </c>
      <c r="F75" s="366">
        <v>225565560</v>
      </c>
      <c r="G75" s="366">
        <v>1050913081</v>
      </c>
      <c r="H75" s="366">
        <v>859279365</v>
      </c>
      <c r="I75" s="366">
        <v>0</v>
      </c>
      <c r="J75" s="366">
        <v>426135424</v>
      </c>
      <c r="K75" s="354"/>
      <c r="L75" s="354"/>
    </row>
    <row r="76" spans="1:12" ht="18.75" customHeight="1">
      <c r="A76" s="318">
        <v>41111</v>
      </c>
      <c r="B76" s="472" t="s">
        <v>686</v>
      </c>
      <c r="C76" s="366" t="s">
        <v>641</v>
      </c>
      <c r="D76" s="366">
        <v>22750000000</v>
      </c>
      <c r="E76" s="366">
        <v>0</v>
      </c>
      <c r="F76" s="366">
        <v>0</v>
      </c>
      <c r="G76" s="366" t="s">
        <v>641</v>
      </c>
      <c r="H76" s="366">
        <v>23944970000</v>
      </c>
      <c r="I76" s="366">
        <v>0</v>
      </c>
      <c r="J76" s="366">
        <v>46694970000</v>
      </c>
      <c r="K76" s="354"/>
      <c r="L76" s="354"/>
    </row>
    <row r="77" spans="1:12" ht="18.75" customHeight="1">
      <c r="A77" s="318">
        <v>4112</v>
      </c>
      <c r="B77" s="472" t="s">
        <v>622</v>
      </c>
      <c r="C77" s="366">
        <v>0</v>
      </c>
      <c r="D77" s="366">
        <v>0</v>
      </c>
      <c r="E77" s="366">
        <v>110225000</v>
      </c>
      <c r="F77" s="366">
        <v>0</v>
      </c>
      <c r="G77" s="366">
        <v>158178075</v>
      </c>
      <c r="H77" s="366">
        <v>48149090000</v>
      </c>
      <c r="I77" s="366">
        <v>0</v>
      </c>
      <c r="J77" s="366">
        <v>47990911925</v>
      </c>
      <c r="K77" s="354"/>
      <c r="L77" s="354"/>
    </row>
    <row r="78" spans="1:12" ht="18.75" customHeight="1">
      <c r="A78" s="318">
        <v>413</v>
      </c>
      <c r="B78" s="472" t="s">
        <v>687</v>
      </c>
      <c r="C78" s="366" t="s">
        <v>641</v>
      </c>
      <c r="D78" s="366">
        <v>0</v>
      </c>
      <c r="E78" s="366">
        <v>183807235</v>
      </c>
      <c r="F78" s="366">
        <v>183807235</v>
      </c>
      <c r="G78" s="366">
        <v>323336110</v>
      </c>
      <c r="H78" s="366">
        <v>323336110</v>
      </c>
      <c r="I78" s="366">
        <v>0</v>
      </c>
      <c r="J78" s="366">
        <v>0</v>
      </c>
      <c r="K78" s="354"/>
      <c r="L78" s="354"/>
    </row>
    <row r="79" spans="1:12" ht="18.75" customHeight="1">
      <c r="A79" s="318">
        <v>414</v>
      </c>
      <c r="B79" s="472" t="s">
        <v>688</v>
      </c>
      <c r="C79" s="366" t="s">
        <v>641</v>
      </c>
      <c r="D79" s="366">
        <v>12685321582</v>
      </c>
      <c r="E79" s="366">
        <v>0</v>
      </c>
      <c r="F79" s="366">
        <v>656047987</v>
      </c>
      <c r="G79" s="366">
        <v>7583330000</v>
      </c>
      <c r="H79" s="366">
        <v>3427745346</v>
      </c>
      <c r="I79" s="366">
        <v>0</v>
      </c>
      <c r="J79" s="366">
        <v>8529736928</v>
      </c>
      <c r="K79" s="354"/>
      <c r="L79" s="354"/>
    </row>
    <row r="80" spans="1:12" ht="18.75" customHeight="1">
      <c r="A80" s="318">
        <v>415</v>
      </c>
      <c r="B80" s="472" t="s">
        <v>689</v>
      </c>
      <c r="C80" s="366" t="s">
        <v>641</v>
      </c>
      <c r="D80" s="366">
        <v>1194085761</v>
      </c>
      <c r="E80" s="366">
        <v>0</v>
      </c>
      <c r="F80" s="366">
        <v>84566950</v>
      </c>
      <c r="G80" s="366" t="s">
        <v>641</v>
      </c>
      <c r="H80" s="366">
        <v>707542761</v>
      </c>
      <c r="I80" s="366">
        <v>0</v>
      </c>
      <c r="J80" s="366">
        <v>1901628522</v>
      </c>
      <c r="K80" s="354"/>
      <c r="L80" s="354"/>
    </row>
    <row r="81" spans="1:12" ht="18.75" customHeight="1">
      <c r="A81" s="318">
        <v>419</v>
      </c>
      <c r="B81" s="472" t="s">
        <v>623</v>
      </c>
      <c r="C81" s="366">
        <v>293000000</v>
      </c>
      <c r="D81" s="366">
        <v>0</v>
      </c>
      <c r="E81" s="366">
        <v>0</v>
      </c>
      <c r="F81" s="366">
        <v>0</v>
      </c>
      <c r="G81" s="366">
        <v>1500000</v>
      </c>
      <c r="H81" s="366">
        <v>293000000</v>
      </c>
      <c r="I81" s="366">
        <v>1500000</v>
      </c>
      <c r="J81" s="366">
        <v>0</v>
      </c>
      <c r="K81" s="354"/>
      <c r="L81" s="354"/>
    </row>
    <row r="82" spans="1:12" ht="18.75" customHeight="1">
      <c r="A82" s="318">
        <v>421</v>
      </c>
      <c r="B82" s="472" t="s">
        <v>480</v>
      </c>
      <c r="C82" s="366" t="s">
        <v>641</v>
      </c>
      <c r="D82" s="366">
        <v>1347420000</v>
      </c>
      <c r="E82" s="366">
        <v>6123566128</v>
      </c>
      <c r="F82" s="366">
        <v>1691339019</v>
      </c>
      <c r="G82" s="366">
        <v>12777708509</v>
      </c>
      <c r="H82" s="366">
        <v>14162355223</v>
      </c>
      <c r="I82" s="366" t="s">
        <v>641</v>
      </c>
      <c r="J82" s="366">
        <v>2732066714</v>
      </c>
      <c r="K82" s="354"/>
      <c r="L82" s="354"/>
    </row>
    <row r="83" spans="1:12" ht="18.75" customHeight="1">
      <c r="A83" s="318">
        <v>4312</v>
      </c>
      <c r="B83" s="472" t="s">
        <v>693</v>
      </c>
      <c r="C83" s="366" t="s">
        <v>641</v>
      </c>
      <c r="D83" s="366">
        <v>1830374129</v>
      </c>
      <c r="E83" s="366">
        <v>27578171</v>
      </c>
      <c r="F83" s="366">
        <v>446742432</v>
      </c>
      <c r="G83" s="366">
        <v>2827640906</v>
      </c>
      <c r="H83" s="366">
        <v>1850137888</v>
      </c>
      <c r="I83" s="366" t="s">
        <v>641</v>
      </c>
      <c r="J83" s="366">
        <v>852871111</v>
      </c>
      <c r="K83" s="354"/>
      <c r="L83" s="354"/>
    </row>
    <row r="84" spans="1:12" ht="18.75" customHeight="1">
      <c r="A84" s="318">
        <v>4611</v>
      </c>
      <c r="B84" s="472" t="s">
        <v>694</v>
      </c>
      <c r="C84" s="366" t="s">
        <v>641</v>
      </c>
      <c r="D84" s="366">
        <v>19000000</v>
      </c>
      <c r="E84" s="366">
        <v>0</v>
      </c>
      <c r="F84" s="366">
        <v>0</v>
      </c>
      <c r="G84" s="366" t="s">
        <v>641</v>
      </c>
      <c r="H84" s="366" t="s">
        <v>641</v>
      </c>
      <c r="I84" s="366" t="s">
        <v>641</v>
      </c>
      <c r="J84" s="366">
        <v>19000000</v>
      </c>
      <c r="K84" s="354"/>
      <c r="L84" s="354"/>
    </row>
    <row r="85" spans="1:12" s="21" customFormat="1" ht="18.75" customHeight="1">
      <c r="A85" s="319">
        <v>51121</v>
      </c>
      <c r="B85" s="471" t="s">
        <v>25</v>
      </c>
      <c r="C85" s="366">
        <v>0</v>
      </c>
      <c r="D85" s="366">
        <v>0</v>
      </c>
      <c r="E85" s="366">
        <v>3526095118</v>
      </c>
      <c r="F85" s="366">
        <v>3526095118</v>
      </c>
      <c r="G85" s="366">
        <v>6545465627</v>
      </c>
      <c r="H85" s="366">
        <v>6545465627</v>
      </c>
      <c r="I85" s="366">
        <v>0</v>
      </c>
      <c r="J85" s="366">
        <v>0</v>
      </c>
      <c r="K85" s="354"/>
      <c r="L85" s="354"/>
    </row>
    <row r="86" spans="1:12" s="21" customFormat="1" ht="18.75" customHeight="1">
      <c r="A86" s="319">
        <v>51122</v>
      </c>
      <c r="B86" s="471" t="s">
        <v>26</v>
      </c>
      <c r="C86" s="366">
        <v>0</v>
      </c>
      <c r="D86" s="366">
        <v>0</v>
      </c>
      <c r="E86" s="366">
        <v>99625691229</v>
      </c>
      <c r="F86" s="366">
        <v>99625691229</v>
      </c>
      <c r="G86" s="366">
        <v>349722618356</v>
      </c>
      <c r="H86" s="366">
        <v>349722618356</v>
      </c>
      <c r="I86" s="366">
        <v>0</v>
      </c>
      <c r="J86" s="366">
        <v>0</v>
      </c>
      <c r="K86" s="354"/>
      <c r="L86" s="354"/>
    </row>
    <row r="87" spans="1:12" s="21" customFormat="1" ht="18.75" customHeight="1">
      <c r="A87" s="319">
        <v>511</v>
      </c>
      <c r="B87" s="471" t="s">
        <v>27</v>
      </c>
      <c r="C87" s="366">
        <v>0</v>
      </c>
      <c r="D87" s="366">
        <v>0</v>
      </c>
      <c r="E87" s="366">
        <v>103151786347</v>
      </c>
      <c r="F87" s="366">
        <v>103151786347</v>
      </c>
      <c r="G87" s="366">
        <v>356268083983</v>
      </c>
      <c r="H87" s="366">
        <v>356268083983</v>
      </c>
      <c r="I87" s="366">
        <v>0</v>
      </c>
      <c r="J87" s="366">
        <v>0</v>
      </c>
      <c r="K87" s="354"/>
      <c r="L87" s="354"/>
    </row>
    <row r="88" spans="1:12" ht="18.75" customHeight="1">
      <c r="A88" s="318">
        <v>5151</v>
      </c>
      <c r="B88" s="472" t="s">
        <v>695</v>
      </c>
      <c r="C88" s="366" t="s">
        <v>641</v>
      </c>
      <c r="D88" s="366">
        <v>0</v>
      </c>
      <c r="E88" s="366">
        <v>0</v>
      </c>
      <c r="F88" s="366">
        <v>0</v>
      </c>
      <c r="G88" s="366">
        <v>100720000</v>
      </c>
      <c r="H88" s="366">
        <v>100720000</v>
      </c>
      <c r="I88" s="366">
        <v>0</v>
      </c>
      <c r="J88" s="366">
        <v>0</v>
      </c>
      <c r="K88" s="354"/>
      <c r="L88" s="354"/>
    </row>
    <row r="89" spans="1:12" ht="18.75" customHeight="1">
      <c r="A89" s="318">
        <v>5154</v>
      </c>
      <c r="B89" s="472" t="s">
        <v>696</v>
      </c>
      <c r="C89" s="366" t="s">
        <v>641</v>
      </c>
      <c r="D89" s="366">
        <v>0</v>
      </c>
      <c r="E89" s="366">
        <v>274262266</v>
      </c>
      <c r="F89" s="366">
        <v>274262266</v>
      </c>
      <c r="G89" s="366">
        <v>624440649</v>
      </c>
      <c r="H89" s="366">
        <v>624440649</v>
      </c>
      <c r="I89" s="366">
        <v>0</v>
      </c>
      <c r="J89" s="366">
        <v>0</v>
      </c>
      <c r="K89" s="354"/>
      <c r="L89" s="354"/>
    </row>
    <row r="90" spans="1:12" ht="18.75" customHeight="1">
      <c r="A90" s="318">
        <v>5155</v>
      </c>
      <c r="B90" s="472" t="s">
        <v>687</v>
      </c>
      <c r="C90" s="366" t="s">
        <v>641</v>
      </c>
      <c r="D90" s="366">
        <v>0</v>
      </c>
      <c r="E90" s="366">
        <v>310212025</v>
      </c>
      <c r="F90" s="366">
        <v>310212025</v>
      </c>
      <c r="G90" s="366">
        <v>1057951727</v>
      </c>
      <c r="H90" s="366">
        <v>1057951727</v>
      </c>
      <c r="I90" s="366">
        <v>0</v>
      </c>
      <c r="J90" s="366">
        <v>0</v>
      </c>
      <c r="K90" s="354"/>
      <c r="L90" s="354"/>
    </row>
    <row r="91" spans="1:12" ht="18.75" customHeight="1">
      <c r="A91" s="318">
        <v>532</v>
      </c>
      <c r="B91" s="472" t="s">
        <v>697</v>
      </c>
      <c r="C91" s="366" t="s">
        <v>641</v>
      </c>
      <c r="D91" s="366">
        <v>0</v>
      </c>
      <c r="E91" s="366">
        <v>245316237</v>
      </c>
      <c r="F91" s="366">
        <v>245316237</v>
      </c>
      <c r="G91" s="366">
        <v>359197757</v>
      </c>
      <c r="H91" s="366">
        <v>359197757</v>
      </c>
      <c r="I91" s="366">
        <v>0</v>
      </c>
      <c r="J91" s="366">
        <v>0</v>
      </c>
      <c r="K91" s="354"/>
      <c r="L91" s="354"/>
    </row>
    <row r="92" spans="1:12" s="21" customFormat="1" ht="18.75" customHeight="1">
      <c r="A92" s="319">
        <v>627</v>
      </c>
      <c r="B92" s="471" t="s">
        <v>28</v>
      </c>
      <c r="C92" s="366">
        <v>0</v>
      </c>
      <c r="D92" s="366">
        <v>0</v>
      </c>
      <c r="E92" s="366">
        <v>25644335571</v>
      </c>
      <c r="F92" s="366">
        <v>25644335571</v>
      </c>
      <c r="G92" s="366">
        <v>95784193823</v>
      </c>
      <c r="H92" s="366">
        <v>95784193823</v>
      </c>
      <c r="I92" s="366">
        <v>0</v>
      </c>
      <c r="J92" s="366">
        <v>0</v>
      </c>
      <c r="K92" s="354"/>
      <c r="L92" s="354"/>
    </row>
    <row r="93" spans="1:12" ht="18.75" customHeight="1">
      <c r="A93" s="318">
        <v>6321</v>
      </c>
      <c r="B93" s="472" t="s">
        <v>698</v>
      </c>
      <c r="C93" s="366" t="s">
        <v>641</v>
      </c>
      <c r="D93" s="366">
        <v>0</v>
      </c>
      <c r="E93" s="366">
        <v>76413036036</v>
      </c>
      <c r="F93" s="366">
        <v>76413036036</v>
      </c>
      <c r="G93" s="366">
        <v>267636666593</v>
      </c>
      <c r="H93" s="366">
        <v>267636666593</v>
      </c>
      <c r="I93" s="366">
        <v>0</v>
      </c>
      <c r="J93" s="366">
        <v>0</v>
      </c>
      <c r="K93" s="354"/>
      <c r="L93" s="354"/>
    </row>
    <row r="94" spans="1:12" ht="18.75" customHeight="1">
      <c r="A94" s="318">
        <v>6322</v>
      </c>
      <c r="B94" s="472" t="s">
        <v>699</v>
      </c>
      <c r="C94" s="366" t="s">
        <v>641</v>
      </c>
      <c r="D94" s="366">
        <v>0</v>
      </c>
      <c r="E94" s="366">
        <v>155554333</v>
      </c>
      <c r="F94" s="366">
        <v>155554333</v>
      </c>
      <c r="G94" s="366">
        <v>845276713</v>
      </c>
      <c r="H94" s="366">
        <v>845276713</v>
      </c>
      <c r="I94" s="366">
        <v>0</v>
      </c>
      <c r="J94" s="366">
        <v>0</v>
      </c>
      <c r="K94" s="354"/>
      <c r="L94" s="354"/>
    </row>
    <row r="95" spans="1:12" ht="18.75" customHeight="1">
      <c r="A95" s="318">
        <v>6351</v>
      </c>
      <c r="B95" s="472" t="s">
        <v>700</v>
      </c>
      <c r="C95" s="366" t="s">
        <v>641</v>
      </c>
      <c r="D95" s="366">
        <v>0</v>
      </c>
      <c r="E95" s="366">
        <v>402430063</v>
      </c>
      <c r="F95" s="366">
        <v>402430063</v>
      </c>
      <c r="G95" s="366">
        <v>4155198249</v>
      </c>
      <c r="H95" s="366">
        <v>4155198249</v>
      </c>
      <c r="I95" s="366">
        <v>0</v>
      </c>
      <c r="J95" s="366">
        <v>0</v>
      </c>
      <c r="K95" s="354"/>
      <c r="L95" s="354"/>
    </row>
    <row r="96" spans="1:12" ht="18.75" customHeight="1">
      <c r="A96" s="318">
        <v>6352</v>
      </c>
      <c r="B96" s="472" t="s">
        <v>701</v>
      </c>
      <c r="C96" s="366" t="s">
        <v>641</v>
      </c>
      <c r="D96" s="366">
        <v>0</v>
      </c>
      <c r="E96" s="366">
        <v>724487996</v>
      </c>
      <c r="F96" s="366">
        <v>724487996</v>
      </c>
      <c r="G96" s="366">
        <v>1282743070</v>
      </c>
      <c r="H96" s="366">
        <v>1282743070</v>
      </c>
      <c r="I96" s="366">
        <v>0</v>
      </c>
      <c r="J96" s="366">
        <v>0</v>
      </c>
      <c r="K96" s="354"/>
      <c r="L96" s="354"/>
    </row>
    <row r="97" spans="1:12" s="21" customFormat="1" ht="18.75" customHeight="1">
      <c r="A97" s="319">
        <v>641</v>
      </c>
      <c r="B97" s="471" t="s">
        <v>499</v>
      </c>
      <c r="C97" s="366">
        <v>0</v>
      </c>
      <c r="D97" s="366">
        <v>0</v>
      </c>
      <c r="E97" s="366">
        <v>12621294258</v>
      </c>
      <c r="F97" s="366">
        <v>12621294258</v>
      </c>
      <c r="G97" s="366">
        <v>28489812786</v>
      </c>
      <c r="H97" s="366">
        <v>28489812786</v>
      </c>
      <c r="I97" s="366">
        <v>0</v>
      </c>
      <c r="J97" s="366">
        <v>0</v>
      </c>
      <c r="K97" s="354"/>
      <c r="L97" s="354"/>
    </row>
    <row r="98" spans="1:12" ht="18.75" customHeight="1">
      <c r="A98" s="318">
        <v>6428</v>
      </c>
      <c r="B98" s="472" t="s">
        <v>702</v>
      </c>
      <c r="C98" s="366" t="s">
        <v>641</v>
      </c>
      <c r="D98" s="366">
        <v>0</v>
      </c>
      <c r="E98" s="366">
        <v>11796497636</v>
      </c>
      <c r="F98" s="366">
        <v>11796497636</v>
      </c>
      <c r="G98" s="366">
        <v>39631327296</v>
      </c>
      <c r="H98" s="366">
        <v>39631327296</v>
      </c>
      <c r="I98" s="366">
        <v>0</v>
      </c>
      <c r="J98" s="366">
        <v>0</v>
      </c>
      <c r="K98" s="354"/>
      <c r="L98" s="354"/>
    </row>
    <row r="99" spans="1:12" ht="18.75" customHeight="1">
      <c r="A99" s="318">
        <v>711</v>
      </c>
      <c r="B99" s="472" t="s">
        <v>504</v>
      </c>
      <c r="C99" s="366" t="s">
        <v>641</v>
      </c>
      <c r="D99" s="366">
        <v>0</v>
      </c>
      <c r="E99" s="366">
        <v>46500000</v>
      </c>
      <c r="F99" s="366">
        <v>46500000</v>
      </c>
      <c r="G99" s="366">
        <v>562934302</v>
      </c>
      <c r="H99" s="366">
        <v>562934302</v>
      </c>
      <c r="I99" s="366">
        <v>0</v>
      </c>
      <c r="J99" s="366">
        <v>0</v>
      </c>
      <c r="K99" s="354"/>
      <c r="L99" s="354"/>
    </row>
    <row r="100" spans="1:12" ht="18.75" customHeight="1">
      <c r="A100" s="318">
        <v>811</v>
      </c>
      <c r="B100" s="472" t="s">
        <v>505</v>
      </c>
      <c r="C100" s="366" t="s">
        <v>641</v>
      </c>
      <c r="D100" s="366">
        <v>0</v>
      </c>
      <c r="E100" s="366">
        <v>31066017</v>
      </c>
      <c r="F100" s="366">
        <v>31066017</v>
      </c>
      <c r="G100" s="366">
        <v>76083018</v>
      </c>
      <c r="H100" s="366">
        <v>76083018</v>
      </c>
      <c r="I100" s="366">
        <v>0</v>
      </c>
      <c r="J100" s="366">
        <v>0</v>
      </c>
      <c r="K100" s="354"/>
      <c r="L100" s="354"/>
    </row>
    <row r="101" spans="1:12" ht="18.75" customHeight="1">
      <c r="A101" s="318">
        <v>8211</v>
      </c>
      <c r="B101" s="472" t="s">
        <v>703</v>
      </c>
      <c r="C101" s="366" t="s">
        <v>641</v>
      </c>
      <c r="D101" s="366">
        <v>0</v>
      </c>
      <c r="E101" s="366">
        <v>419311122</v>
      </c>
      <c r="F101" s="366">
        <v>419311122</v>
      </c>
      <c r="G101" s="366">
        <v>3159794919</v>
      </c>
      <c r="H101" s="366">
        <v>3159794919</v>
      </c>
      <c r="I101" s="366">
        <v>0</v>
      </c>
      <c r="J101" s="366">
        <v>0</v>
      </c>
      <c r="K101" s="354"/>
      <c r="L101" s="354"/>
    </row>
    <row r="102" spans="1:12" ht="18.75" customHeight="1">
      <c r="A102" s="320">
        <v>911</v>
      </c>
      <c r="B102" s="473" t="s">
        <v>704</v>
      </c>
      <c r="C102" s="366" t="s">
        <v>641</v>
      </c>
      <c r="D102" s="366">
        <v>0</v>
      </c>
      <c r="E102" s="366">
        <v>103782760638</v>
      </c>
      <c r="F102" s="366">
        <v>103782760638</v>
      </c>
      <c r="G102" s="366">
        <v>358612995326</v>
      </c>
      <c r="H102" s="366">
        <v>358612995326</v>
      </c>
      <c r="I102" s="366">
        <v>0</v>
      </c>
      <c r="J102" s="366">
        <v>0</v>
      </c>
      <c r="K102" s="354"/>
      <c r="L102" s="354"/>
    </row>
    <row r="103" spans="1:12" s="21" customFormat="1" ht="24.75" customHeight="1">
      <c r="A103" s="321"/>
      <c r="B103" s="368" t="s">
        <v>642</v>
      </c>
      <c r="C103" s="367">
        <v>158117094569</v>
      </c>
      <c r="D103" s="367">
        <v>158117094569</v>
      </c>
      <c r="E103" s="367">
        <v>1148954260196</v>
      </c>
      <c r="F103" s="367">
        <v>1148954260196</v>
      </c>
      <c r="G103" s="367">
        <v>3678120453969</v>
      </c>
      <c r="H103" s="367">
        <v>3678120453969</v>
      </c>
      <c r="I103" s="367">
        <v>216926292517</v>
      </c>
      <c r="J103" s="367">
        <v>216926292517</v>
      </c>
      <c r="K103" s="354"/>
      <c r="L103" s="354"/>
    </row>
    <row r="104" spans="3:10" ht="14.25">
      <c r="C104" s="474"/>
      <c r="D104" s="474"/>
      <c r="E104" s="474"/>
      <c r="F104" s="474"/>
      <c r="G104" s="474"/>
      <c r="H104" s="474"/>
      <c r="I104" s="474"/>
      <c r="J104" s="474"/>
    </row>
    <row r="105" spans="2:11" s="315" customFormat="1" ht="3.75" customHeight="1">
      <c r="B105" s="475"/>
      <c r="C105" s="476"/>
      <c r="D105" s="476"/>
      <c r="E105" s="476"/>
      <c r="F105" s="476"/>
      <c r="G105" s="476"/>
      <c r="H105" s="491" t="s">
        <v>253</v>
      </c>
      <c r="I105" s="491"/>
      <c r="J105" s="491"/>
      <c r="K105" s="476"/>
    </row>
    <row r="106" spans="1:11" s="315" customFormat="1" ht="14.25">
      <c r="A106" s="20"/>
      <c r="B106" s="369"/>
      <c r="C106" s="228"/>
      <c r="D106" s="228"/>
      <c r="E106" s="228"/>
      <c r="F106" s="228"/>
      <c r="G106" s="228"/>
      <c r="H106" s="511" t="s">
        <v>545</v>
      </c>
      <c r="I106" s="511"/>
      <c r="J106" s="511"/>
      <c r="K106" s="477"/>
    </row>
    <row r="107" spans="1:11" s="315" customFormat="1" ht="14.25">
      <c r="A107" s="20" t="s">
        <v>296</v>
      </c>
      <c r="B107" s="369"/>
      <c r="C107" s="21"/>
      <c r="D107" s="364"/>
      <c r="E107" s="490" t="s">
        <v>298</v>
      </c>
      <c r="F107" s="490"/>
      <c r="G107" s="363"/>
      <c r="H107" s="511" t="s">
        <v>297</v>
      </c>
      <c r="I107" s="511"/>
      <c r="J107" s="511"/>
      <c r="K107" s="478"/>
    </row>
    <row r="108" spans="1:11" s="315" customFormat="1" ht="14.25">
      <c r="A108" s="209"/>
      <c r="B108" s="369"/>
      <c r="C108" s="34"/>
      <c r="D108" s="370"/>
      <c r="E108" s="20"/>
      <c r="F108" s="20"/>
      <c r="G108" s="370"/>
      <c r="H108" s="226"/>
      <c r="I108" s="20"/>
      <c r="J108" s="20"/>
      <c r="K108" s="478"/>
    </row>
    <row r="109" spans="1:10" s="315" customFormat="1" ht="14.25">
      <c r="A109" s="209"/>
      <c r="B109" s="369"/>
      <c r="C109" s="34"/>
      <c r="D109" s="240"/>
      <c r="E109" s="20"/>
      <c r="F109" s="20"/>
      <c r="G109" s="20"/>
      <c r="H109" s="226"/>
      <c r="I109" s="20"/>
      <c r="J109" s="20"/>
    </row>
    <row r="110" spans="1:10" s="315" customFormat="1" ht="14.25">
      <c r="A110" s="209"/>
      <c r="B110" s="369"/>
      <c r="C110" s="34"/>
      <c r="D110" s="240"/>
      <c r="E110" s="20"/>
      <c r="F110" s="20"/>
      <c r="G110" s="20"/>
      <c r="H110" s="226"/>
      <c r="I110" s="20"/>
      <c r="J110" s="20"/>
    </row>
    <row r="111" spans="1:10" s="315" customFormat="1" ht="14.25">
      <c r="A111" s="209"/>
      <c r="B111" s="369"/>
      <c r="C111" s="34"/>
      <c r="D111" s="240"/>
      <c r="E111" s="371"/>
      <c r="F111" s="371"/>
      <c r="G111" s="20"/>
      <c r="H111" s="226"/>
      <c r="I111" s="20"/>
      <c r="J111" s="20"/>
    </row>
    <row r="112" spans="2:11" ht="14.25">
      <c r="B112" s="369"/>
      <c r="D112" s="240"/>
      <c r="E112" s="371"/>
      <c r="F112" s="371"/>
      <c r="H112" s="226"/>
      <c r="K112" s="364"/>
    </row>
    <row r="113" spans="2:11" ht="14.25">
      <c r="B113" s="369"/>
      <c r="D113" s="240"/>
      <c r="E113" s="371"/>
      <c r="F113" s="371"/>
      <c r="H113" s="226"/>
      <c r="K113" s="322"/>
    </row>
    <row r="114" spans="2:11" ht="14.25">
      <c r="B114" s="369"/>
      <c r="D114" s="240"/>
      <c r="E114" s="371"/>
      <c r="F114" s="371"/>
      <c r="H114" s="226"/>
      <c r="K114" s="322"/>
    </row>
    <row r="115" spans="1:11" ht="14.25">
      <c r="A115" s="20" t="s">
        <v>427</v>
      </c>
      <c r="B115" s="369"/>
      <c r="D115" s="240"/>
      <c r="E115" s="490" t="s">
        <v>643</v>
      </c>
      <c r="F115" s="490"/>
      <c r="H115" s="511" t="s">
        <v>644</v>
      </c>
      <c r="I115" s="511"/>
      <c r="J115" s="511"/>
      <c r="K115" s="322"/>
    </row>
    <row r="116" spans="1:11" ht="14.25">
      <c r="A116" s="322"/>
      <c r="B116" s="372"/>
      <c r="C116" s="337"/>
      <c r="D116" s="337"/>
      <c r="E116" s="337"/>
      <c r="F116" s="322"/>
      <c r="G116" s="322"/>
      <c r="H116" s="322"/>
      <c r="I116" s="322"/>
      <c r="J116" s="322"/>
      <c r="K116" s="322"/>
    </row>
    <row r="117" spans="1:11" ht="14.25">
      <c r="A117" s="322"/>
      <c r="B117" s="372"/>
      <c r="C117" s="337"/>
      <c r="D117" s="337"/>
      <c r="E117" s="337"/>
      <c r="F117" s="322"/>
      <c r="G117" s="322"/>
      <c r="H117" s="322"/>
      <c r="I117" s="322"/>
      <c r="J117" s="322"/>
      <c r="K117" s="322"/>
    </row>
  </sheetData>
  <mergeCells count="16">
    <mergeCell ref="A1:J1"/>
    <mergeCell ref="A2:J2"/>
    <mergeCell ref="A3:J3"/>
    <mergeCell ref="A4:J4"/>
    <mergeCell ref="A7:A8"/>
    <mergeCell ref="B7:B8"/>
    <mergeCell ref="C7:D7"/>
    <mergeCell ref="E7:F7"/>
    <mergeCell ref="E115:F115"/>
    <mergeCell ref="H115:J115"/>
    <mergeCell ref="G7:H7"/>
    <mergeCell ref="I7:J7"/>
    <mergeCell ref="H105:J105"/>
    <mergeCell ref="H106:J106"/>
    <mergeCell ref="E107:F107"/>
    <mergeCell ref="H107:J107"/>
  </mergeCells>
  <printOptions/>
  <pageMargins left="0" right="0" top="0.75" bottom="0.5" header="0.25" footer="0.25"/>
  <pageSetup horizontalDpi="600" verticalDpi="600" orientation="landscape" paperSize="9" scale="80" r:id="rId1"/>
  <headerFooter alignWithMargins="0">
    <oddFooter>&amp;C&amp;8BAÛNG CAÂN ÑOÁI PHAÙT SINH TOÅNG HÔÏP QUYÙ 4/2007&amp;R&amp;8Trang&amp;P/&amp;N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E227"/>
  <sheetViews>
    <sheetView workbookViewId="0" topLeftCell="A215">
      <selection activeCell="E187" sqref="E187:E190"/>
    </sheetView>
  </sheetViews>
  <sheetFormatPr defaultColWidth="8.796875" defaultRowHeight="15"/>
  <cols>
    <col min="1" max="1" width="3.8984375" style="127" customWidth="1"/>
    <col min="2" max="2" width="20" style="127" customWidth="1"/>
    <col min="3" max="3" width="8.3984375" style="127" customWidth="1"/>
    <col min="4" max="4" width="13.59765625" style="127" customWidth="1"/>
    <col min="5" max="5" width="14.69921875" style="127" customWidth="1"/>
    <col min="6" max="6" width="14.69921875" style="127" bestFit="1" customWidth="1"/>
    <col min="7" max="7" width="14.59765625" style="127" customWidth="1"/>
    <col min="8" max="8" width="20.3984375" style="127" customWidth="1"/>
    <col min="9" max="16384" width="9" style="127" customWidth="1"/>
  </cols>
  <sheetData>
    <row r="1" spans="1:8" ht="12.75">
      <c r="A1" s="125" t="s">
        <v>744</v>
      </c>
      <c r="B1" s="126"/>
      <c r="C1" s="126"/>
      <c r="D1" s="126"/>
      <c r="E1" s="126"/>
      <c r="F1" s="126"/>
      <c r="G1" s="126" t="s">
        <v>745</v>
      </c>
      <c r="H1" s="126"/>
    </row>
    <row r="2" spans="1:8" ht="17.25">
      <c r="A2" s="126" t="s">
        <v>746</v>
      </c>
      <c r="B2" s="126"/>
      <c r="C2" s="126"/>
      <c r="D2" s="126"/>
      <c r="E2" s="126"/>
      <c r="F2" s="126"/>
      <c r="G2" s="128" t="s">
        <v>587</v>
      </c>
      <c r="H2" s="126"/>
    </row>
    <row r="3" spans="1:8" ht="17.25">
      <c r="A3" s="126"/>
      <c r="B3" s="126"/>
      <c r="C3" s="126"/>
      <c r="D3" s="126"/>
      <c r="E3" s="126"/>
      <c r="F3" s="126"/>
      <c r="G3" s="128" t="s">
        <v>588</v>
      </c>
      <c r="H3" s="126"/>
    </row>
    <row r="4" spans="1:8" ht="12.75">
      <c r="A4" s="126"/>
      <c r="B4" s="126"/>
      <c r="C4" s="126"/>
      <c r="D4" s="126"/>
      <c r="E4" s="126"/>
      <c r="F4" s="126"/>
      <c r="G4" s="129"/>
      <c r="H4" s="126"/>
    </row>
    <row r="5" spans="1:8" ht="12.75">
      <c r="A5" s="126"/>
      <c r="B5" s="126"/>
      <c r="C5" s="126"/>
      <c r="D5" s="126"/>
      <c r="E5" s="126"/>
      <c r="F5" s="126"/>
      <c r="G5" s="126"/>
      <c r="H5" s="126"/>
    </row>
    <row r="6" spans="1:8" ht="12.75">
      <c r="A6" s="126"/>
      <c r="B6" s="126"/>
      <c r="C6" s="126"/>
      <c r="D6" s="126"/>
      <c r="E6" s="126"/>
      <c r="F6" s="126"/>
      <c r="G6" s="126"/>
      <c r="H6" s="126"/>
    </row>
    <row r="7" spans="1:8" ht="23.25">
      <c r="A7" s="495" t="s">
        <v>747</v>
      </c>
      <c r="B7" s="495"/>
      <c r="C7" s="495"/>
      <c r="D7" s="495"/>
      <c r="E7" s="495"/>
      <c r="F7" s="495"/>
      <c r="G7" s="495"/>
      <c r="H7" s="495"/>
    </row>
    <row r="8" spans="1:239" ht="18">
      <c r="A8" s="529" t="s">
        <v>551</v>
      </c>
      <c r="B8" s="529"/>
      <c r="C8" s="529"/>
      <c r="D8" s="529"/>
      <c r="E8" s="529"/>
      <c r="F8" s="529"/>
      <c r="G8" s="529"/>
      <c r="H8" s="5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</row>
    <row r="9" spans="1:8" ht="12.75">
      <c r="A9" s="126"/>
      <c r="B9" s="126"/>
      <c r="C9" s="126"/>
      <c r="D9" s="126"/>
      <c r="E9" s="126"/>
      <c r="F9" s="126"/>
      <c r="G9" s="126"/>
      <c r="H9" s="126"/>
    </row>
    <row r="10" spans="1:8" ht="15.75" customHeight="1">
      <c r="A10" s="131" t="s">
        <v>748</v>
      </c>
      <c r="B10" s="126"/>
      <c r="C10" s="126"/>
      <c r="D10" s="126"/>
      <c r="E10" s="126"/>
      <c r="F10" s="126"/>
      <c r="G10" s="126"/>
      <c r="H10" s="126"/>
    </row>
    <row r="11" spans="1:8" ht="15.75" customHeight="1">
      <c r="A11" s="126"/>
      <c r="B11" s="126" t="s">
        <v>749</v>
      </c>
      <c r="C11" s="132" t="s">
        <v>750</v>
      </c>
      <c r="D11" s="126" t="s">
        <v>751</v>
      </c>
      <c r="E11" s="126"/>
      <c r="F11" s="126"/>
      <c r="G11" s="126"/>
      <c r="H11" s="126"/>
    </row>
    <row r="12" spans="1:8" ht="15.75" customHeight="1">
      <c r="A12" s="126"/>
      <c r="B12" s="126" t="s">
        <v>752</v>
      </c>
      <c r="C12" s="132"/>
      <c r="D12" s="126" t="s">
        <v>753</v>
      </c>
      <c r="E12" s="126"/>
      <c r="F12" s="126"/>
      <c r="G12" s="126"/>
      <c r="H12" s="126"/>
    </row>
    <row r="13" spans="1:8" ht="15.75" customHeight="1">
      <c r="A13" s="126"/>
      <c r="B13" s="126" t="s">
        <v>510</v>
      </c>
      <c r="C13" s="126"/>
      <c r="D13" s="132"/>
      <c r="E13" s="126"/>
      <c r="F13" s="126"/>
      <c r="G13" s="126"/>
      <c r="H13" s="126"/>
    </row>
    <row r="14" spans="1:8" ht="15.75" customHeight="1">
      <c r="A14" s="126"/>
      <c r="B14" s="126" t="s">
        <v>511</v>
      </c>
      <c r="C14" s="126"/>
      <c r="D14" s="132"/>
      <c r="E14" s="126"/>
      <c r="F14" s="126"/>
      <c r="G14" s="126"/>
      <c r="H14" s="126"/>
    </row>
    <row r="15" spans="1:8" ht="15.75" customHeight="1">
      <c r="A15" s="126"/>
      <c r="B15" s="126"/>
      <c r="C15" s="126"/>
      <c r="D15" s="132"/>
      <c r="E15" s="126"/>
      <c r="F15" s="126"/>
      <c r="G15" s="126"/>
      <c r="H15" s="126"/>
    </row>
    <row r="16" spans="1:8" ht="15.75" customHeight="1">
      <c r="A16" s="126"/>
      <c r="B16" s="126" t="s">
        <v>754</v>
      </c>
      <c r="C16" s="132"/>
      <c r="D16" s="140">
        <v>3704</v>
      </c>
      <c r="E16" s="126"/>
      <c r="F16" s="126"/>
      <c r="G16" s="126"/>
      <c r="H16" s="126"/>
    </row>
    <row r="17" spans="1:8" ht="15.75" customHeight="1">
      <c r="A17" s="126"/>
      <c r="B17" s="126" t="s">
        <v>755</v>
      </c>
      <c r="C17" s="126"/>
      <c r="D17" s="140">
        <v>313</v>
      </c>
      <c r="E17" s="126"/>
      <c r="F17" s="134"/>
      <c r="G17" s="126"/>
      <c r="H17" s="126"/>
    </row>
    <row r="18" spans="1:8" ht="15.75" customHeight="1">
      <c r="A18" s="126"/>
      <c r="B18" s="126"/>
      <c r="C18" s="126"/>
      <c r="D18" s="132"/>
      <c r="E18" s="133"/>
      <c r="F18" s="134"/>
      <c r="G18" s="126"/>
      <c r="H18" s="126"/>
    </row>
    <row r="19" spans="1:8" ht="15.75" customHeight="1">
      <c r="A19" s="131" t="s">
        <v>756</v>
      </c>
      <c r="B19" s="126"/>
      <c r="C19" s="126"/>
      <c r="D19" s="132"/>
      <c r="E19" s="133"/>
      <c r="F19" s="134"/>
      <c r="G19" s="126"/>
      <c r="H19" s="126"/>
    </row>
    <row r="20" spans="1:8" ht="15.75" customHeight="1">
      <c r="A20" s="125"/>
      <c r="B20" s="126" t="s">
        <v>757</v>
      </c>
      <c r="C20" s="132" t="s">
        <v>750</v>
      </c>
      <c r="D20" s="126" t="s">
        <v>168</v>
      </c>
      <c r="E20" s="133"/>
      <c r="F20" s="134"/>
      <c r="G20" s="126"/>
      <c r="H20" s="126"/>
    </row>
    <row r="21" spans="1:8" ht="15.75" customHeight="1">
      <c r="A21" s="125"/>
      <c r="B21" s="126"/>
      <c r="C21" s="126"/>
      <c r="D21" s="126"/>
      <c r="E21" s="133"/>
      <c r="F21" s="134"/>
      <c r="G21" s="126"/>
      <c r="H21" s="126"/>
    </row>
    <row r="22" spans="1:8" ht="15.75" customHeight="1">
      <c r="A22" s="125"/>
      <c r="B22" s="126" t="s">
        <v>758</v>
      </c>
      <c r="C22" s="126"/>
      <c r="D22" s="132"/>
      <c r="E22" s="133"/>
      <c r="F22" s="134"/>
      <c r="G22" s="126"/>
      <c r="H22" s="126"/>
    </row>
    <row r="23" spans="1:8" ht="15.75" customHeight="1">
      <c r="A23" s="125"/>
      <c r="B23" s="126"/>
      <c r="C23" s="126"/>
      <c r="D23" s="132"/>
      <c r="E23" s="133"/>
      <c r="F23" s="134"/>
      <c r="G23" s="126"/>
      <c r="H23" s="126"/>
    </row>
    <row r="24" spans="1:8" ht="15.75" customHeight="1">
      <c r="A24" s="131" t="s">
        <v>759</v>
      </c>
      <c r="B24" s="126"/>
      <c r="C24" s="126"/>
      <c r="D24" s="126"/>
      <c r="E24" s="126"/>
      <c r="F24" s="126"/>
      <c r="G24" s="126"/>
      <c r="H24" s="126"/>
    </row>
    <row r="25" spans="1:8" ht="15.75" customHeight="1">
      <c r="A25" s="126"/>
      <c r="B25" s="125" t="s">
        <v>760</v>
      </c>
      <c r="C25" s="126"/>
      <c r="D25" s="126"/>
      <c r="E25" s="126"/>
      <c r="F25" s="126"/>
      <c r="G25" s="126"/>
      <c r="H25" s="126"/>
    </row>
    <row r="26" spans="1:8" ht="15.75" customHeight="1">
      <c r="A26" s="126"/>
      <c r="B26" s="135" t="s">
        <v>761</v>
      </c>
      <c r="C26" s="126"/>
      <c r="D26" s="126"/>
      <c r="E26" s="126"/>
      <c r="F26" s="126"/>
      <c r="G26" s="126"/>
      <c r="H26" s="126"/>
    </row>
    <row r="27" spans="1:8" ht="15.75" customHeight="1">
      <c r="A27" s="126"/>
      <c r="B27" s="126"/>
      <c r="C27" s="126"/>
      <c r="D27" s="126"/>
      <c r="E27" s="126"/>
      <c r="F27" s="126"/>
      <c r="G27" s="126"/>
      <c r="H27" s="126"/>
    </row>
    <row r="28" spans="1:8" ht="15.75" customHeight="1">
      <c r="A28" s="126"/>
      <c r="B28" s="125" t="s">
        <v>762</v>
      </c>
      <c r="C28" s="126"/>
      <c r="D28" s="126"/>
      <c r="E28" s="126"/>
      <c r="F28" s="126"/>
      <c r="G28" s="126"/>
      <c r="H28" s="126"/>
    </row>
    <row r="29" spans="1:8" ht="15.75" customHeight="1">
      <c r="A29" s="126"/>
      <c r="B29" s="125"/>
      <c r="C29" s="126"/>
      <c r="D29" s="126"/>
      <c r="E29" s="126"/>
      <c r="F29" s="126"/>
      <c r="G29" s="126"/>
      <c r="H29" s="126"/>
    </row>
    <row r="30" spans="1:8" ht="15.75" customHeight="1">
      <c r="A30" s="131" t="s">
        <v>763</v>
      </c>
      <c r="B30" s="126"/>
      <c r="C30" s="126"/>
      <c r="D30" s="126"/>
      <c r="E30" s="126"/>
      <c r="F30" s="126"/>
      <c r="G30" s="126"/>
      <c r="H30" s="126"/>
    </row>
    <row r="31" spans="1:8" ht="15.75" customHeight="1">
      <c r="A31" s="131"/>
      <c r="B31" s="125" t="s">
        <v>764</v>
      </c>
      <c r="C31" s="126"/>
      <c r="D31" s="126"/>
      <c r="E31" s="126"/>
      <c r="F31" s="126"/>
      <c r="G31" s="126"/>
      <c r="H31" s="126"/>
    </row>
    <row r="32" spans="1:8" ht="15.75" customHeight="1">
      <c r="A32" s="131"/>
      <c r="B32" s="126" t="s">
        <v>765</v>
      </c>
      <c r="C32" s="126"/>
      <c r="D32" s="126"/>
      <c r="E32" s="126"/>
      <c r="F32" s="126"/>
      <c r="G32" s="126"/>
      <c r="H32" s="126"/>
    </row>
    <row r="33" spans="1:8" ht="15.75" customHeight="1">
      <c r="A33" s="131"/>
      <c r="B33" s="126"/>
      <c r="C33" s="126"/>
      <c r="D33" s="126"/>
      <c r="E33" s="126"/>
      <c r="F33" s="126"/>
      <c r="G33" s="126"/>
      <c r="H33" s="126"/>
    </row>
    <row r="34" spans="1:8" ht="15.75" customHeight="1">
      <c r="A34" s="131"/>
      <c r="B34" s="125" t="s">
        <v>766</v>
      </c>
      <c r="C34" s="126"/>
      <c r="D34" s="126"/>
      <c r="E34" s="126"/>
      <c r="F34" s="126"/>
      <c r="G34" s="126"/>
      <c r="H34" s="126"/>
    </row>
    <row r="35" spans="1:8" ht="15.75" customHeight="1">
      <c r="A35" s="131"/>
      <c r="B35" s="126" t="s">
        <v>1</v>
      </c>
      <c r="C35" s="126"/>
      <c r="D35" s="126"/>
      <c r="E35" s="126"/>
      <c r="F35" s="126"/>
      <c r="G35" s="126"/>
      <c r="H35" s="126"/>
    </row>
    <row r="36" spans="1:8" ht="15.75" customHeight="1">
      <c r="A36" s="131"/>
      <c r="B36" s="126" t="s">
        <v>2</v>
      </c>
      <c r="C36" s="126"/>
      <c r="D36" s="126"/>
      <c r="E36" s="126"/>
      <c r="F36" s="126"/>
      <c r="G36" s="126"/>
      <c r="H36" s="126"/>
    </row>
    <row r="37" spans="1:8" ht="15.75" customHeight="1">
      <c r="A37" s="131"/>
      <c r="B37" s="126" t="s">
        <v>3</v>
      </c>
      <c r="C37" s="126"/>
      <c r="D37" s="126"/>
      <c r="E37" s="126"/>
      <c r="F37" s="126"/>
      <c r="G37" s="126"/>
      <c r="H37" s="126"/>
    </row>
    <row r="38" spans="1:8" ht="15.75" customHeight="1">
      <c r="A38" s="131"/>
      <c r="B38" s="126"/>
      <c r="C38" s="126"/>
      <c r="D38" s="126"/>
      <c r="E38" s="126"/>
      <c r="F38" s="126"/>
      <c r="G38" s="126"/>
      <c r="H38" s="126"/>
    </row>
    <row r="39" spans="1:8" ht="15.75" customHeight="1">
      <c r="A39" s="126"/>
      <c r="B39" s="125" t="s">
        <v>6</v>
      </c>
      <c r="C39" s="126"/>
      <c r="D39" s="126"/>
      <c r="E39" s="126"/>
      <c r="F39" s="126"/>
      <c r="G39" s="126"/>
      <c r="H39" s="126"/>
    </row>
    <row r="40" spans="1:8" ht="15.75" customHeight="1">
      <c r="A40" s="126"/>
      <c r="B40" s="126" t="s">
        <v>7</v>
      </c>
      <c r="C40" s="126"/>
      <c r="D40" s="126"/>
      <c r="E40" s="126"/>
      <c r="F40" s="126"/>
      <c r="G40" s="126"/>
      <c r="H40" s="126"/>
    </row>
    <row r="41" spans="1:8" ht="15.75" customHeight="1">
      <c r="A41" s="126"/>
      <c r="B41" s="126" t="s">
        <v>8</v>
      </c>
      <c r="C41" s="126"/>
      <c r="D41" s="126"/>
      <c r="E41" s="126"/>
      <c r="F41" s="126"/>
      <c r="G41" s="126"/>
      <c r="H41" s="126"/>
    </row>
    <row r="42" spans="1:8" ht="15.75" customHeight="1">
      <c r="A42" s="126"/>
      <c r="B42" s="126"/>
      <c r="C42" s="126"/>
      <c r="D42" s="126"/>
      <c r="E42" s="126"/>
      <c r="F42" s="126"/>
      <c r="G42" s="126"/>
      <c r="H42" s="126"/>
    </row>
    <row r="43" spans="1:8" ht="15.75" customHeight="1">
      <c r="A43" s="126"/>
      <c r="B43" s="125" t="s">
        <v>30</v>
      </c>
      <c r="C43" s="126"/>
      <c r="D43" s="126"/>
      <c r="E43" s="126"/>
      <c r="F43" s="126"/>
      <c r="G43" s="126"/>
      <c r="H43" s="126"/>
    </row>
    <row r="44" spans="1:8" ht="15.75" customHeight="1">
      <c r="A44" s="126"/>
      <c r="B44" s="135" t="s">
        <v>31</v>
      </c>
      <c r="C44" s="126"/>
      <c r="D44" s="126"/>
      <c r="E44" s="126"/>
      <c r="F44" s="126"/>
      <c r="G44" s="126"/>
      <c r="H44" s="126"/>
    </row>
    <row r="45" spans="1:8" ht="15.75" customHeight="1">
      <c r="A45" s="126"/>
      <c r="B45" s="135" t="s">
        <v>32</v>
      </c>
      <c r="C45" s="126"/>
      <c r="D45" s="126"/>
      <c r="E45" s="126"/>
      <c r="F45" s="126"/>
      <c r="G45" s="126"/>
      <c r="H45" s="126"/>
    </row>
    <row r="46" spans="1:8" ht="15.75" customHeight="1">
      <c r="A46" s="126"/>
      <c r="B46" s="135"/>
      <c r="C46" s="126"/>
      <c r="D46" s="126"/>
      <c r="E46" s="126"/>
      <c r="F46" s="126"/>
      <c r="G46" s="126"/>
      <c r="H46" s="126"/>
    </row>
    <row r="47" spans="1:8" ht="15.75" customHeight="1">
      <c r="A47" s="126"/>
      <c r="B47" s="125" t="s">
        <v>33</v>
      </c>
      <c r="C47" s="126"/>
      <c r="D47" s="126"/>
      <c r="E47" s="126"/>
      <c r="F47" s="126"/>
      <c r="G47" s="126"/>
      <c r="H47" s="126"/>
    </row>
    <row r="48" spans="1:8" ht="15.75" customHeight="1">
      <c r="A48" s="126"/>
      <c r="B48" s="126" t="s">
        <v>34</v>
      </c>
      <c r="C48" s="126"/>
      <c r="D48" s="126"/>
      <c r="E48" s="126"/>
      <c r="F48" s="126"/>
      <c r="G48" s="126"/>
      <c r="H48" s="126"/>
    </row>
    <row r="49" spans="1:8" ht="15.75" customHeight="1">
      <c r="A49" s="126"/>
      <c r="B49" s="126" t="s">
        <v>35</v>
      </c>
      <c r="C49" s="126"/>
      <c r="D49" s="126"/>
      <c r="E49" s="126"/>
      <c r="F49" s="126"/>
      <c r="G49" s="126"/>
      <c r="H49" s="126"/>
    </row>
    <row r="50" spans="1:8" ht="15.75" customHeight="1">
      <c r="A50" s="126"/>
      <c r="B50" s="135"/>
      <c r="C50" s="126"/>
      <c r="D50" s="126"/>
      <c r="E50" s="126"/>
      <c r="F50" s="126"/>
      <c r="G50" s="126"/>
      <c r="H50" s="126"/>
    </row>
    <row r="51" spans="1:8" ht="15.75" customHeight="1">
      <c r="A51" s="126"/>
      <c r="B51" s="125" t="s">
        <v>36</v>
      </c>
      <c r="C51" s="126"/>
      <c r="D51" s="126"/>
      <c r="E51" s="126"/>
      <c r="F51" s="126"/>
      <c r="G51" s="126"/>
      <c r="H51" s="126"/>
    </row>
    <row r="52" spans="1:8" ht="15.75" customHeight="1">
      <c r="A52" s="126"/>
      <c r="B52" s="126" t="s">
        <v>37</v>
      </c>
      <c r="C52" s="126"/>
      <c r="D52" s="126"/>
      <c r="E52" s="126"/>
      <c r="F52" s="126"/>
      <c r="G52" s="126"/>
      <c r="H52" s="126"/>
    </row>
    <row r="53" spans="1:8" ht="15.75" customHeight="1">
      <c r="A53" s="126"/>
      <c r="B53" s="126"/>
      <c r="C53" s="126"/>
      <c r="D53" s="126"/>
      <c r="E53" s="126"/>
      <c r="F53" s="126"/>
      <c r="G53" s="126"/>
      <c r="H53" s="126"/>
    </row>
    <row r="54" spans="1:8" ht="15.75" customHeight="1">
      <c r="A54" s="126"/>
      <c r="B54" s="125"/>
      <c r="C54" s="126"/>
      <c r="D54" s="126"/>
      <c r="E54" s="126"/>
      <c r="F54" s="126"/>
      <c r="G54" s="126"/>
      <c r="H54" s="126"/>
    </row>
    <row r="55" spans="1:8" ht="15.75" customHeight="1">
      <c r="A55" s="126"/>
      <c r="B55" s="125" t="s">
        <v>38</v>
      </c>
      <c r="C55" s="126"/>
      <c r="D55" s="126"/>
      <c r="E55" s="126"/>
      <c r="F55" s="126"/>
      <c r="G55" s="126"/>
      <c r="H55" s="126"/>
    </row>
    <row r="56" spans="1:8" ht="15.75" customHeight="1">
      <c r="A56" s="126"/>
      <c r="B56" s="126" t="s">
        <v>39</v>
      </c>
      <c r="C56" s="126"/>
      <c r="D56" s="126"/>
      <c r="E56" s="126"/>
      <c r="F56" s="126"/>
      <c r="G56" s="126"/>
      <c r="H56" s="126"/>
    </row>
    <row r="57" spans="1:8" ht="15.75" customHeight="1">
      <c r="A57" s="126"/>
      <c r="B57" s="126" t="s">
        <v>40</v>
      </c>
      <c r="C57" s="126"/>
      <c r="D57" s="126"/>
      <c r="E57" s="126"/>
      <c r="F57" s="126"/>
      <c r="G57" s="126"/>
      <c r="H57" s="126"/>
    </row>
    <row r="58" spans="1:8" ht="15.75" customHeight="1">
      <c r="A58" s="131" t="s">
        <v>41</v>
      </c>
      <c r="B58" s="125"/>
      <c r="C58" s="126"/>
      <c r="D58" s="126"/>
      <c r="E58" s="126"/>
      <c r="F58" s="126"/>
      <c r="G58" s="126"/>
      <c r="H58" s="126"/>
    </row>
    <row r="59" spans="1:8" s="137" customFormat="1" ht="15.75" customHeight="1">
      <c r="A59" s="131" t="s">
        <v>42</v>
      </c>
      <c r="B59" s="125"/>
      <c r="C59" s="125"/>
      <c r="D59" s="125"/>
      <c r="E59" s="125"/>
      <c r="F59" s="125"/>
      <c r="G59" s="125"/>
      <c r="H59" s="125"/>
    </row>
    <row r="60" spans="1:8" ht="15.75" customHeight="1">
      <c r="A60" s="126"/>
      <c r="B60" s="125" t="s">
        <v>43</v>
      </c>
      <c r="C60" s="126"/>
      <c r="D60" s="126"/>
      <c r="E60" s="126"/>
      <c r="F60" s="138" t="s">
        <v>44</v>
      </c>
      <c r="G60" s="138" t="s">
        <v>634</v>
      </c>
      <c r="H60" s="126"/>
    </row>
    <row r="61" spans="1:8" ht="15.75" customHeight="1">
      <c r="A61" s="126"/>
      <c r="B61" s="125"/>
      <c r="C61" s="126"/>
      <c r="D61" s="126"/>
      <c r="E61" s="138" t="s">
        <v>45</v>
      </c>
      <c r="F61" s="138" t="s">
        <v>46</v>
      </c>
      <c r="G61" s="138"/>
      <c r="H61" s="126"/>
    </row>
    <row r="62" spans="1:8" ht="15.75" customHeight="1">
      <c r="A62" s="126"/>
      <c r="B62" s="139" t="s">
        <v>47</v>
      </c>
      <c r="C62" s="126"/>
      <c r="D62" s="126"/>
      <c r="E62" s="126"/>
      <c r="F62" s="373">
        <v>2406792636</v>
      </c>
      <c r="G62" s="140">
        <v>730102830</v>
      </c>
      <c r="H62" s="126"/>
    </row>
    <row r="63" spans="1:8" ht="15.75" customHeight="1">
      <c r="A63" s="126"/>
      <c r="B63" s="139" t="s">
        <v>48</v>
      </c>
      <c r="C63" s="126"/>
      <c r="D63" s="126"/>
      <c r="E63" s="126"/>
      <c r="F63" s="140">
        <v>37240927514</v>
      </c>
      <c r="G63" s="140">
        <v>6095461522</v>
      </c>
      <c r="H63" s="126"/>
    </row>
    <row r="64" spans="1:8" ht="15.75" customHeight="1">
      <c r="A64" s="126"/>
      <c r="B64" s="141" t="s">
        <v>49</v>
      </c>
      <c r="C64" s="126"/>
      <c r="D64" s="134"/>
      <c r="E64" s="159">
        <f>+F64-'CDKT-page1-2 ok'!F16</f>
        <v>0</v>
      </c>
      <c r="F64" s="142">
        <f>+F63+F62</f>
        <v>39647720150</v>
      </c>
      <c r="G64" s="142">
        <f>+G63+G62</f>
        <v>6825564352</v>
      </c>
      <c r="H64" s="134"/>
    </row>
    <row r="65" spans="1:8" ht="15.75" customHeight="1">
      <c r="A65" s="126"/>
      <c r="B65" s="143" t="s">
        <v>50</v>
      </c>
      <c r="C65" s="126"/>
      <c r="D65" s="126"/>
      <c r="E65" s="134"/>
      <c r="F65" s="142"/>
      <c r="G65" s="142"/>
      <c r="H65" s="134"/>
    </row>
    <row r="66" spans="1:8" ht="15.75" customHeight="1">
      <c r="A66" s="126"/>
      <c r="B66" s="144" t="s">
        <v>51</v>
      </c>
      <c r="C66" s="126"/>
      <c r="D66" s="126"/>
      <c r="E66" s="134">
        <f>+F66-'CDKT-page1-2 ok'!E19</f>
        <v>0</v>
      </c>
      <c r="F66" s="145">
        <v>20000000</v>
      </c>
      <c r="G66" s="145">
        <v>20000000</v>
      </c>
      <c r="H66" s="134"/>
    </row>
    <row r="67" spans="1:8" ht="15.75" customHeight="1">
      <c r="A67" s="126"/>
      <c r="B67" s="144"/>
      <c r="C67" s="126"/>
      <c r="D67" s="126"/>
      <c r="E67" s="134"/>
      <c r="F67" s="145"/>
      <c r="G67" s="145"/>
      <c r="H67" s="134"/>
    </row>
    <row r="68" spans="1:8" ht="15.75" customHeight="1">
      <c r="A68" s="126"/>
      <c r="B68" s="143" t="s">
        <v>52</v>
      </c>
      <c r="C68" s="126"/>
      <c r="D68" s="126"/>
      <c r="E68" s="134">
        <f>+F68-'CDKT-page1-2 ok'!F26</f>
        <v>0</v>
      </c>
      <c r="F68" s="142">
        <f>SUM(F69:F76)</f>
        <v>128442858</v>
      </c>
      <c r="G68" s="142">
        <f>SUM(G69:G76)</f>
        <v>290895500</v>
      </c>
      <c r="H68" s="134"/>
    </row>
    <row r="69" spans="1:8" ht="15.75" customHeight="1">
      <c r="A69" s="126"/>
      <c r="B69" s="55" t="s">
        <v>53</v>
      </c>
      <c r="C69" s="146"/>
      <c r="D69" s="126"/>
      <c r="E69" s="126"/>
      <c r="F69" s="140">
        <v>0</v>
      </c>
      <c r="G69" s="140">
        <v>78945000</v>
      </c>
      <c r="H69" s="126"/>
    </row>
    <row r="70" spans="1:8" ht="15.75" customHeight="1">
      <c r="A70" s="126"/>
      <c r="B70" s="55" t="s">
        <v>54</v>
      </c>
      <c r="C70" s="146"/>
      <c r="D70" s="126"/>
      <c r="E70" s="126"/>
      <c r="F70" s="140"/>
      <c r="G70" s="140">
        <v>46500500</v>
      </c>
      <c r="H70" s="126"/>
    </row>
    <row r="71" spans="1:8" ht="15.75" customHeight="1">
      <c r="A71" s="126"/>
      <c r="B71" s="55" t="s">
        <v>55</v>
      </c>
      <c r="C71" s="146"/>
      <c r="D71" s="126"/>
      <c r="E71" s="126"/>
      <c r="F71" s="140">
        <v>0</v>
      </c>
      <c r="G71" s="140">
        <v>27750000</v>
      </c>
      <c r="H71" s="126"/>
    </row>
    <row r="72" spans="1:8" ht="15.75" customHeight="1">
      <c r="A72" s="126"/>
      <c r="B72" s="55" t="s">
        <v>56</v>
      </c>
      <c r="C72" s="423"/>
      <c r="D72" s="126"/>
      <c r="E72" s="126"/>
      <c r="F72" s="140">
        <v>66500000</v>
      </c>
      <c r="G72" s="140">
        <v>66500000</v>
      </c>
      <c r="H72" s="126"/>
    </row>
    <row r="73" spans="1:8" ht="15.75" customHeight="1">
      <c r="A73" s="126"/>
      <c r="B73" s="55" t="s">
        <v>57</v>
      </c>
      <c r="C73" s="423"/>
      <c r="D73" s="126"/>
      <c r="E73" s="126"/>
      <c r="F73" s="140">
        <v>10600000</v>
      </c>
      <c r="G73" s="140">
        <v>68200000</v>
      </c>
      <c r="H73" s="126"/>
    </row>
    <row r="74" spans="1:8" ht="15.75" customHeight="1">
      <c r="A74" s="126"/>
      <c r="B74" s="55" t="s">
        <v>58</v>
      </c>
      <c r="C74" s="423"/>
      <c r="D74" s="126"/>
      <c r="E74" s="126"/>
      <c r="F74" s="140"/>
      <c r="G74" s="140">
        <v>3000000</v>
      </c>
      <c r="H74" s="126"/>
    </row>
    <row r="75" spans="1:8" ht="15.75" customHeight="1">
      <c r="A75" s="126"/>
      <c r="B75" s="55" t="s">
        <v>129</v>
      </c>
      <c r="C75" s="423"/>
      <c r="D75" s="126"/>
      <c r="E75" s="126"/>
      <c r="F75" s="140">
        <v>51342858</v>
      </c>
      <c r="G75" s="140"/>
      <c r="H75" s="126"/>
    </row>
    <row r="76" spans="1:8" ht="15.75" customHeight="1">
      <c r="A76" s="126"/>
      <c r="B76" s="424"/>
      <c r="C76" s="423"/>
      <c r="D76" s="126"/>
      <c r="E76" s="126"/>
      <c r="F76" s="140"/>
      <c r="G76" s="140"/>
      <c r="H76" s="126"/>
    </row>
    <row r="77" spans="1:8" ht="15.75" customHeight="1">
      <c r="A77" s="126"/>
      <c r="B77" s="125" t="s">
        <v>59</v>
      </c>
      <c r="C77" s="140"/>
      <c r="D77" s="140"/>
      <c r="E77" s="126"/>
      <c r="F77" s="147" t="s">
        <v>44</v>
      </c>
      <c r="G77" s="147" t="s">
        <v>634</v>
      </c>
      <c r="H77" s="126"/>
    </row>
    <row r="78" spans="1:8" ht="15.75" customHeight="1">
      <c r="A78" s="126"/>
      <c r="B78" s="139" t="s">
        <v>60</v>
      </c>
      <c r="C78" s="140"/>
      <c r="D78" s="140"/>
      <c r="E78" s="126"/>
      <c r="F78" s="140">
        <v>17901670361</v>
      </c>
      <c r="G78" s="140">
        <f>9639012876+3125533966+34667591+20162444+196184389</f>
        <v>13015561266</v>
      </c>
      <c r="H78" s="126"/>
    </row>
    <row r="79" spans="1:8" ht="15.75" customHeight="1">
      <c r="A79" s="126"/>
      <c r="B79" s="139" t="s">
        <v>61</v>
      </c>
      <c r="C79" s="140"/>
      <c r="D79" s="140"/>
      <c r="E79" s="134"/>
      <c r="F79" s="140">
        <v>598372105</v>
      </c>
      <c r="G79" s="140">
        <f>424340586+62999554</f>
        <v>487340140</v>
      </c>
      <c r="H79" s="126"/>
    </row>
    <row r="80" spans="1:8" ht="15.75" customHeight="1">
      <c r="A80" s="126"/>
      <c r="B80" s="139" t="s">
        <v>62</v>
      </c>
      <c r="C80" s="140"/>
      <c r="D80" s="140"/>
      <c r="E80" s="134"/>
      <c r="F80" s="140"/>
      <c r="G80" s="140"/>
      <c r="H80" s="126"/>
    </row>
    <row r="81" spans="1:8" ht="15.75" customHeight="1">
      <c r="A81" s="126"/>
      <c r="B81" s="139" t="s">
        <v>63</v>
      </c>
      <c r="C81" s="140"/>
      <c r="D81" s="140"/>
      <c r="E81" s="134"/>
      <c r="F81" s="140">
        <v>9887150761</v>
      </c>
      <c r="G81" s="140">
        <v>13372413696</v>
      </c>
      <c r="H81" s="126"/>
    </row>
    <row r="82" spans="1:8" ht="15.75" customHeight="1">
      <c r="A82" s="126"/>
      <c r="B82" s="139" t="s">
        <v>64</v>
      </c>
      <c r="C82" s="140"/>
      <c r="D82" s="140"/>
      <c r="E82" s="126"/>
      <c r="F82" s="140"/>
      <c r="G82" s="140"/>
      <c r="H82" s="126"/>
    </row>
    <row r="83" spans="1:8" ht="15.75" customHeight="1">
      <c r="A83" s="126"/>
      <c r="B83" s="141" t="s">
        <v>65</v>
      </c>
      <c r="C83" s="140"/>
      <c r="D83" s="140"/>
      <c r="E83" s="134">
        <f>+F83-'CDKT-page1-2 ok'!F29</f>
        <v>0</v>
      </c>
      <c r="F83" s="142">
        <f>SUM(F78:F82)</f>
        <v>28387193227</v>
      </c>
      <c r="G83" s="142">
        <f>SUM(G78:G82)</f>
        <v>26875315102</v>
      </c>
      <c r="H83" s="134"/>
    </row>
    <row r="84" spans="1:8" ht="15.75" customHeight="1">
      <c r="A84" s="126"/>
      <c r="B84" s="125" t="s">
        <v>66</v>
      </c>
      <c r="C84" s="140"/>
      <c r="D84" s="140"/>
      <c r="E84" s="126"/>
      <c r="F84" s="147" t="s">
        <v>44</v>
      </c>
      <c r="G84" s="147" t="s">
        <v>634</v>
      </c>
      <c r="H84" s="126"/>
    </row>
    <row r="85" spans="1:8" ht="15.75" customHeight="1">
      <c r="A85" s="126"/>
      <c r="B85" s="139" t="s">
        <v>67</v>
      </c>
      <c r="C85" s="140"/>
      <c r="D85" s="140"/>
      <c r="E85" s="126"/>
      <c r="F85" s="145"/>
      <c r="G85" s="147"/>
      <c r="H85" s="126"/>
    </row>
    <row r="86" spans="1:8" ht="15.75" customHeight="1">
      <c r="A86" s="126"/>
      <c r="B86" s="139" t="s">
        <v>68</v>
      </c>
      <c r="C86" s="140"/>
      <c r="D86" s="140"/>
      <c r="E86" s="126"/>
      <c r="F86" s="140"/>
      <c r="G86" s="140"/>
      <c r="H86" s="126"/>
    </row>
    <row r="87" spans="1:8" ht="15.75" customHeight="1">
      <c r="A87" s="126"/>
      <c r="B87" s="148" t="s">
        <v>69</v>
      </c>
      <c r="C87" s="140"/>
      <c r="D87" s="140"/>
      <c r="E87" s="126"/>
      <c r="F87" s="140"/>
      <c r="G87" s="140"/>
      <c r="H87" s="126"/>
    </row>
    <row r="88" spans="1:8" ht="15.75" customHeight="1">
      <c r="A88" s="126"/>
      <c r="B88" s="141" t="s">
        <v>49</v>
      </c>
      <c r="C88" s="140"/>
      <c r="D88" s="140"/>
      <c r="E88" s="134"/>
      <c r="F88" s="142">
        <f>SUM(F86:F87)+F85</f>
        <v>0</v>
      </c>
      <c r="G88" s="142">
        <f>SUM(G86:G87)</f>
        <v>0</v>
      </c>
      <c r="H88" s="134"/>
    </row>
    <row r="89" spans="1:8" ht="15.75" customHeight="1">
      <c r="A89" s="126"/>
      <c r="B89" s="126"/>
      <c r="C89" s="140"/>
      <c r="D89" s="140"/>
      <c r="E89" s="126"/>
      <c r="F89" s="140"/>
      <c r="G89" s="140"/>
      <c r="H89" s="126"/>
    </row>
    <row r="90" spans="1:8" ht="15.75" customHeight="1">
      <c r="A90" s="126"/>
      <c r="B90" s="125" t="s">
        <v>70</v>
      </c>
      <c r="C90" s="140"/>
      <c r="D90" s="140"/>
      <c r="E90" s="126"/>
      <c r="F90" s="140"/>
      <c r="G90" s="140"/>
      <c r="H90" s="126"/>
    </row>
    <row r="91" spans="1:8" ht="15.75" customHeight="1">
      <c r="A91" s="126"/>
      <c r="B91" s="126"/>
      <c r="C91" s="140"/>
      <c r="D91" s="140"/>
      <c r="E91" s="126"/>
      <c r="F91" s="140"/>
      <c r="G91" s="140"/>
      <c r="H91" s="126"/>
    </row>
    <row r="92" spans="1:8" ht="15.75" customHeight="1">
      <c r="A92" s="126"/>
      <c r="B92" s="143" t="s">
        <v>71</v>
      </c>
      <c r="C92" s="126"/>
      <c r="D92" s="140"/>
      <c r="E92" s="134">
        <f>+F92-'CDKT-page1-2 ok'!F41</f>
        <v>0</v>
      </c>
      <c r="F92" s="142">
        <f>SUM(F93:F96)</f>
        <v>279601947</v>
      </c>
      <c r="G92" s="142">
        <f>SUM(G93:G96)</f>
        <v>282601947</v>
      </c>
      <c r="H92" s="134"/>
    </row>
    <row r="93" spans="1:8" ht="15.75" customHeight="1">
      <c r="A93" s="126"/>
      <c r="B93" s="149" t="s">
        <v>72</v>
      </c>
      <c r="C93" s="140"/>
      <c r="D93" s="150"/>
      <c r="E93" s="145"/>
      <c r="F93" s="145">
        <v>249801947</v>
      </c>
      <c r="G93" s="145">
        <v>249801947</v>
      </c>
      <c r="H93" s="126"/>
    </row>
    <row r="94" spans="1:8" ht="15.75" customHeight="1">
      <c r="A94" s="126"/>
      <c r="B94" s="149" t="s">
        <v>73</v>
      </c>
      <c r="C94" s="140"/>
      <c r="D94" s="145"/>
      <c r="E94" s="145"/>
      <c r="F94" s="145">
        <v>28800000</v>
      </c>
      <c r="G94" s="145">
        <v>28800000</v>
      </c>
      <c r="H94" s="126"/>
    </row>
    <row r="95" spans="1:8" ht="15.75" customHeight="1">
      <c r="A95" s="126"/>
      <c r="B95" s="149" t="s">
        <v>74</v>
      </c>
      <c r="C95" s="126"/>
      <c r="D95" s="140"/>
      <c r="E95" s="126"/>
      <c r="F95" s="140">
        <v>1000000</v>
      </c>
      <c r="G95" s="140">
        <v>1000000</v>
      </c>
      <c r="H95" s="126"/>
    </row>
    <row r="96" spans="1:8" ht="15.75" customHeight="1">
      <c r="A96" s="126"/>
      <c r="B96" s="149" t="s">
        <v>75</v>
      </c>
      <c r="C96" s="136"/>
      <c r="D96" s="151"/>
      <c r="E96" s="136"/>
      <c r="F96" s="151">
        <v>0</v>
      </c>
      <c r="G96" s="151">
        <v>3000000</v>
      </c>
      <c r="H96" s="136"/>
    </row>
    <row r="97" spans="1:8" ht="15.75" customHeight="1">
      <c r="A97" s="126"/>
      <c r="B97" s="152" t="s">
        <v>76</v>
      </c>
      <c r="C97" s="151"/>
      <c r="D97" s="151"/>
      <c r="E97" s="151"/>
      <c r="F97" s="151"/>
      <c r="G97" s="151"/>
      <c r="H97" s="136"/>
    </row>
    <row r="98" spans="1:8" ht="15.75" customHeight="1">
      <c r="A98" s="126"/>
      <c r="B98" s="530" t="s">
        <v>77</v>
      </c>
      <c r="C98" s="530"/>
      <c r="D98" s="441" t="s">
        <v>78</v>
      </c>
      <c r="E98" s="441" t="s">
        <v>79</v>
      </c>
      <c r="F98" s="441" t="s">
        <v>80</v>
      </c>
      <c r="G98" s="441" t="s">
        <v>81</v>
      </c>
      <c r="H98" s="441" t="s">
        <v>82</v>
      </c>
    </row>
    <row r="99" spans="1:8" ht="15.75" customHeight="1">
      <c r="A99" s="126"/>
      <c r="B99" s="442"/>
      <c r="C99" s="443"/>
      <c r="D99" s="153"/>
      <c r="E99" s="153"/>
      <c r="F99" s="153"/>
      <c r="G99" s="153"/>
      <c r="H99" s="154"/>
    </row>
    <row r="100" spans="1:8" ht="15.75" customHeight="1">
      <c r="A100" s="126"/>
      <c r="B100" s="444" t="s">
        <v>83</v>
      </c>
      <c r="C100" s="445"/>
      <c r="D100" s="155"/>
      <c r="E100" s="155"/>
      <c r="F100" s="155"/>
      <c r="G100" s="155"/>
      <c r="H100" s="156"/>
    </row>
    <row r="101" spans="1:8" ht="15.75" customHeight="1">
      <c r="A101" s="126"/>
      <c r="B101" s="446" t="s">
        <v>84</v>
      </c>
      <c r="C101" s="445"/>
      <c r="D101" s="155">
        <v>56515923614</v>
      </c>
      <c r="E101" s="155">
        <v>32780873121</v>
      </c>
      <c r="F101" s="155">
        <v>4099570859</v>
      </c>
      <c r="G101" s="155">
        <v>3405936559</v>
      </c>
      <c r="H101" s="447">
        <f>SUM(D101:G101)</f>
        <v>96802304153</v>
      </c>
    </row>
    <row r="102" spans="1:8" ht="15.75" customHeight="1">
      <c r="A102" s="126"/>
      <c r="B102" s="446" t="s">
        <v>85</v>
      </c>
      <c r="C102" s="445"/>
      <c r="D102" s="448">
        <f>535793661+24450341</f>
        <v>560244002</v>
      </c>
      <c r="E102" s="155">
        <f>1851711773+371054638+541930400+2611121674</f>
        <v>5375818485</v>
      </c>
      <c r="F102" s="155"/>
      <c r="G102" s="155">
        <f>3016276456-390856200-80835000-51873754-2318400000+16789132+37500000+14265513+14800838+26179200+28148624+32584400</f>
        <v>344579209</v>
      </c>
      <c r="H102" s="447">
        <f>SUM(D102:G102)</f>
        <v>6280641696</v>
      </c>
    </row>
    <row r="103" spans="1:8" ht="15.75" customHeight="1">
      <c r="A103" s="126"/>
      <c r="B103" s="446" t="s">
        <v>86</v>
      </c>
      <c r="C103" s="445"/>
      <c r="D103" s="155"/>
      <c r="E103" s="155"/>
      <c r="F103" s="155"/>
      <c r="G103" s="155"/>
      <c r="H103" s="447">
        <f>SUM(D103:G103)</f>
        <v>0</v>
      </c>
    </row>
    <row r="104" spans="1:8" ht="15.75" customHeight="1">
      <c r="A104" s="126"/>
      <c r="B104" s="446" t="s">
        <v>87</v>
      </c>
      <c r="C104" s="445"/>
      <c r="D104" s="155">
        <v>107370000</v>
      </c>
      <c r="E104" s="155">
        <f>364107832+45352000</f>
        <v>409459832</v>
      </c>
      <c r="F104" s="155">
        <v>256654000</v>
      </c>
      <c r="G104" s="155">
        <v>17000000</v>
      </c>
      <c r="H104" s="447">
        <f>SUM(D104:G104)</f>
        <v>790483832</v>
      </c>
    </row>
    <row r="105" spans="1:8" ht="15.75" customHeight="1">
      <c r="A105" s="126"/>
      <c r="B105" s="446" t="s">
        <v>88</v>
      </c>
      <c r="C105" s="445"/>
      <c r="D105" s="155">
        <f>+D101+D102+D103-D104</f>
        <v>56968797616</v>
      </c>
      <c r="E105" s="155">
        <f>+E101+E102+E103-E104</f>
        <v>37747231774</v>
      </c>
      <c r="F105" s="155">
        <f>+F101+F102+F103-F104</f>
        <v>3842916859</v>
      </c>
      <c r="G105" s="155">
        <f>+G101+G102+G103-G104</f>
        <v>3733515768</v>
      </c>
      <c r="H105" s="447">
        <f>SUM(D105:G105)</f>
        <v>102292462017</v>
      </c>
    </row>
    <row r="106" spans="1:8" ht="15.75" customHeight="1">
      <c r="A106" s="126"/>
      <c r="B106" s="157"/>
      <c r="C106" s="445"/>
      <c r="D106" s="155"/>
      <c r="E106" s="155"/>
      <c r="F106" s="155"/>
      <c r="G106" s="155"/>
      <c r="H106" s="447">
        <f>+H102-6280641696</f>
        <v>0</v>
      </c>
    </row>
    <row r="107" spans="1:8" ht="15.75" customHeight="1">
      <c r="A107" s="126"/>
      <c r="B107" s="158" t="s">
        <v>89</v>
      </c>
      <c r="C107" s="445"/>
      <c r="D107" s="155"/>
      <c r="E107" s="155"/>
      <c r="F107" s="155"/>
      <c r="G107" s="155"/>
      <c r="H107" s="156"/>
    </row>
    <row r="108" spans="1:8" ht="15.75" customHeight="1">
      <c r="A108" s="126"/>
      <c r="B108" s="446" t="s">
        <v>90</v>
      </c>
      <c r="C108" s="445"/>
      <c r="D108" s="155">
        <v>20430220958</v>
      </c>
      <c r="E108" s="155">
        <v>20591318453</v>
      </c>
      <c r="F108" s="155">
        <v>2941335252</v>
      </c>
      <c r="G108" s="155">
        <v>2015260551</v>
      </c>
      <c r="H108" s="447">
        <f>SUM(D108:G108)</f>
        <v>45978135214</v>
      </c>
    </row>
    <row r="109" spans="1:8" ht="15.75" customHeight="1">
      <c r="A109" s="126"/>
      <c r="B109" s="446" t="s">
        <v>91</v>
      </c>
      <c r="C109" s="445"/>
      <c r="D109" s="155">
        <f>1878884089+947192913+1037622584-88973970</f>
        <v>3774725616</v>
      </c>
      <c r="E109" s="155">
        <f>1894521939+999938984+1060712639</f>
        <v>3955173562</v>
      </c>
      <c r="F109" s="155">
        <f>109082940+54541470+54541476</f>
        <v>218165886</v>
      </c>
      <c r="G109" s="155">
        <f>203537852+118522739+122541357</f>
        <v>444601948</v>
      </c>
      <c r="H109" s="447">
        <f>SUM(D109:G109)</f>
        <v>8392667012</v>
      </c>
    </row>
    <row r="110" spans="1:8" ht="15.75" customHeight="1">
      <c r="A110" s="126"/>
      <c r="B110" s="446" t="s">
        <v>87</v>
      </c>
      <c r="C110" s="445"/>
      <c r="D110" s="155">
        <v>69790500</v>
      </c>
      <c r="E110" s="155">
        <f>333041815+8000000</f>
        <v>341041815</v>
      </c>
      <c r="F110" s="155">
        <v>256654000</v>
      </c>
      <c r="G110" s="155">
        <v>9562499</v>
      </c>
      <c r="H110" s="447">
        <f>SUM(D110:G110)</f>
        <v>677048814</v>
      </c>
    </row>
    <row r="111" spans="1:8" ht="15.75" customHeight="1">
      <c r="A111" s="126"/>
      <c r="B111" s="446" t="s">
        <v>92</v>
      </c>
      <c r="C111" s="445"/>
      <c r="D111" s="155">
        <f>SUM(D108:D109)-D110</f>
        <v>24135156074</v>
      </c>
      <c r="E111" s="155">
        <f>SUM(E108:E109)-E110</f>
        <v>24205450200</v>
      </c>
      <c r="F111" s="155">
        <f>SUM(F108:F109)-F110</f>
        <v>2902847138</v>
      </c>
      <c r="G111" s="155">
        <f>SUM(G108:G109)-G110</f>
        <v>2450300000</v>
      </c>
      <c r="H111" s="155">
        <f>SUM(H108:H109)-H110</f>
        <v>53693753412</v>
      </c>
    </row>
    <row r="112" spans="1:8" ht="15.75" customHeight="1">
      <c r="A112" s="126"/>
      <c r="B112" s="157"/>
      <c r="C112" s="445"/>
      <c r="D112" s="155"/>
      <c r="E112" s="155">
        <f>+E109-3955173562</f>
        <v>0</v>
      </c>
      <c r="F112" s="155"/>
      <c r="G112" s="155"/>
      <c r="H112" s="156"/>
    </row>
    <row r="113" spans="1:8" ht="15.75" customHeight="1">
      <c r="A113" s="126"/>
      <c r="B113" s="158" t="s">
        <v>93</v>
      </c>
      <c r="C113" s="445"/>
      <c r="D113" s="155"/>
      <c r="E113" s="155"/>
      <c r="F113" s="155"/>
      <c r="G113" s="155"/>
      <c r="H113" s="156"/>
    </row>
    <row r="114" spans="1:8" ht="15.75" customHeight="1">
      <c r="A114" s="126"/>
      <c r="B114" s="157" t="s">
        <v>94</v>
      </c>
      <c r="C114" s="445"/>
      <c r="D114" s="155">
        <f>+D101-D108</f>
        <v>36085702656</v>
      </c>
      <c r="E114" s="155">
        <f>+E101-E108</f>
        <v>12189554668</v>
      </c>
      <c r="F114" s="155">
        <f>+F101-F108</f>
        <v>1158235607</v>
      </c>
      <c r="G114" s="155">
        <f>+G101-G108</f>
        <v>1390676008</v>
      </c>
      <c r="H114" s="155">
        <f>+H101-H108</f>
        <v>50824168939</v>
      </c>
    </row>
    <row r="115" spans="1:8" ht="15.75" customHeight="1" thickBot="1">
      <c r="A115" s="126"/>
      <c r="B115" s="449" t="s">
        <v>401</v>
      </c>
      <c r="C115" s="450"/>
      <c r="D115" s="451">
        <f>+D105-D111</f>
        <v>32833641542</v>
      </c>
      <c r="E115" s="451">
        <f>+E105-E111</f>
        <v>13541781574</v>
      </c>
      <c r="F115" s="451">
        <f>+F105-F111</f>
        <v>940069721</v>
      </c>
      <c r="G115" s="451">
        <f>+G105-G111</f>
        <v>1283215768</v>
      </c>
      <c r="H115" s="451">
        <f>+H105-H111</f>
        <v>48598708605</v>
      </c>
    </row>
    <row r="116" spans="1:8" ht="15.75" customHeight="1">
      <c r="A116" s="126"/>
      <c r="B116" s="160"/>
      <c r="C116" s="161"/>
      <c r="D116" s="161"/>
      <c r="E116" s="161"/>
      <c r="F116" s="161"/>
      <c r="G116" s="161"/>
      <c r="H116" s="452"/>
    </row>
    <row r="117" spans="1:8" ht="15.75" customHeight="1">
      <c r="A117" s="126"/>
      <c r="B117" s="126" t="s">
        <v>96</v>
      </c>
      <c r="C117" s="140"/>
      <c r="D117" s="140"/>
      <c r="E117" s="140"/>
      <c r="F117" s="140"/>
      <c r="G117" s="140"/>
      <c r="H117" s="134"/>
    </row>
    <row r="118" spans="1:8" ht="15.75" customHeight="1">
      <c r="A118" s="126"/>
      <c r="B118" s="126" t="s">
        <v>97</v>
      </c>
      <c r="C118" s="140"/>
      <c r="D118" s="140"/>
      <c r="E118" s="140"/>
      <c r="F118" s="140"/>
      <c r="G118" s="140"/>
      <c r="H118" s="126"/>
    </row>
    <row r="119" spans="1:8" ht="15.75" customHeight="1">
      <c r="A119" s="126"/>
      <c r="B119" s="126"/>
      <c r="C119" s="140"/>
      <c r="D119" s="140"/>
      <c r="E119" s="140"/>
      <c r="F119" s="140"/>
      <c r="G119" s="140"/>
      <c r="H119" s="126"/>
    </row>
    <row r="120" spans="1:8" ht="15.75" customHeight="1">
      <c r="A120" s="126"/>
      <c r="B120" s="125" t="s">
        <v>98</v>
      </c>
      <c r="C120" s="142"/>
      <c r="D120" s="147"/>
      <c r="E120" s="147"/>
      <c r="F120" s="147"/>
      <c r="G120" s="147"/>
      <c r="H120" s="126"/>
    </row>
    <row r="121" spans="1:8" ht="12.75">
      <c r="A121" s="126"/>
      <c r="B121" s="152" t="s">
        <v>99</v>
      </c>
      <c r="C121" s="162"/>
      <c r="D121" s="163"/>
      <c r="E121" s="163"/>
      <c r="F121" s="163"/>
      <c r="G121" s="163"/>
      <c r="H121" s="136"/>
    </row>
    <row r="122" spans="1:8" ht="12.75">
      <c r="A122" s="126"/>
      <c r="B122" s="531" t="s">
        <v>100</v>
      </c>
      <c r="C122" s="531"/>
      <c r="D122" s="165" t="s">
        <v>101</v>
      </c>
      <c r="E122" s="165" t="s">
        <v>102</v>
      </c>
      <c r="F122" s="165" t="s">
        <v>103</v>
      </c>
      <c r="G122" s="165" t="s">
        <v>104</v>
      </c>
      <c r="H122" s="164" t="s">
        <v>82</v>
      </c>
    </row>
    <row r="123" spans="1:8" ht="12.75">
      <c r="A123" s="126"/>
      <c r="B123" s="532"/>
      <c r="C123" s="532"/>
      <c r="D123" s="167" t="s">
        <v>105</v>
      </c>
      <c r="E123" s="167" t="s">
        <v>106</v>
      </c>
      <c r="F123" s="167" t="s">
        <v>107</v>
      </c>
      <c r="G123" s="167" t="s">
        <v>108</v>
      </c>
      <c r="H123" s="166"/>
    </row>
    <row r="124" spans="1:8" ht="12.75">
      <c r="A124" s="126"/>
      <c r="B124" s="533"/>
      <c r="C124" s="533"/>
      <c r="D124" s="169"/>
      <c r="E124" s="170" t="s">
        <v>109</v>
      </c>
      <c r="F124" s="170"/>
      <c r="G124" s="170"/>
      <c r="H124" s="168"/>
    </row>
    <row r="125" spans="1:8" ht="12.75">
      <c r="A125" s="126"/>
      <c r="B125" s="171" t="s">
        <v>110</v>
      </c>
      <c r="C125" s="154"/>
      <c r="D125" s="172"/>
      <c r="E125" s="153"/>
      <c r="F125" s="153"/>
      <c r="G125" s="153"/>
      <c r="H125" s="153"/>
    </row>
    <row r="126" spans="1:8" ht="12.75">
      <c r="A126" s="126"/>
      <c r="B126" s="157" t="s">
        <v>84</v>
      </c>
      <c r="C126" s="173"/>
      <c r="D126" s="155">
        <v>0</v>
      </c>
      <c r="E126" s="174"/>
      <c r="F126" s="174"/>
      <c r="G126" s="155">
        <v>10000000</v>
      </c>
      <c r="H126" s="155">
        <f>+SUM(D126:G126)</f>
        <v>10000000</v>
      </c>
    </row>
    <row r="127" spans="1:8" ht="12.75">
      <c r="A127" s="126"/>
      <c r="B127" s="157" t="s">
        <v>130</v>
      </c>
      <c r="C127" s="173"/>
      <c r="D127" s="155">
        <v>20000000</v>
      </c>
      <c r="E127" s="174"/>
      <c r="F127" s="174"/>
      <c r="G127" s="155">
        <v>43994880</v>
      </c>
      <c r="H127" s="155">
        <f aca="true" t="shared" si="0" ref="H127:H138">+SUM(D127:G127)</f>
        <v>63994880</v>
      </c>
    </row>
    <row r="128" spans="1:8" ht="12.75">
      <c r="A128" s="126"/>
      <c r="B128" s="157" t="s">
        <v>111</v>
      </c>
      <c r="C128" s="173"/>
      <c r="D128" s="155"/>
      <c r="E128" s="174"/>
      <c r="F128" s="174"/>
      <c r="G128" s="155"/>
      <c r="H128" s="155">
        <f t="shared" si="0"/>
        <v>0</v>
      </c>
    </row>
    <row r="129" spans="1:8" ht="12.75">
      <c r="A129" s="126"/>
      <c r="B129" s="157" t="s">
        <v>87</v>
      </c>
      <c r="C129" s="173"/>
      <c r="D129" s="155"/>
      <c r="E129" s="174"/>
      <c r="F129" s="174"/>
      <c r="G129" s="174"/>
      <c r="H129" s="155">
        <f t="shared" si="0"/>
        <v>0</v>
      </c>
    </row>
    <row r="130" spans="1:8" ht="12.75">
      <c r="A130" s="126"/>
      <c r="B130" s="157" t="s">
        <v>92</v>
      </c>
      <c r="C130" s="173"/>
      <c r="D130" s="155">
        <f>+D126+D127+D128-D129</f>
        <v>20000000</v>
      </c>
      <c r="E130" s="155">
        <f>+E126+E127+E128-E129</f>
        <v>0</v>
      </c>
      <c r="F130" s="155">
        <f>+F126+F127+F128-F129</f>
        <v>0</v>
      </c>
      <c r="G130" s="155">
        <f>+G126+G127+G128-G129</f>
        <v>53994880</v>
      </c>
      <c r="H130" s="155">
        <f t="shared" si="0"/>
        <v>73994880</v>
      </c>
    </row>
    <row r="131" spans="1:8" ht="12.75">
      <c r="A131" s="126"/>
      <c r="B131" s="158" t="s">
        <v>112</v>
      </c>
      <c r="C131" s="173"/>
      <c r="D131" s="155"/>
      <c r="E131" s="174"/>
      <c r="F131" s="174"/>
      <c r="G131" s="174"/>
      <c r="H131" s="155">
        <f t="shared" si="0"/>
        <v>0</v>
      </c>
    </row>
    <row r="132" spans="1:8" ht="12.75">
      <c r="A132" s="126"/>
      <c r="B132" s="157" t="s">
        <v>84</v>
      </c>
      <c r="C132" s="173"/>
      <c r="D132" s="155"/>
      <c r="E132" s="174"/>
      <c r="F132" s="174"/>
      <c r="G132" s="155">
        <v>10000000</v>
      </c>
      <c r="H132" s="155">
        <f t="shared" si="0"/>
        <v>10000000</v>
      </c>
    </row>
    <row r="133" spans="1:8" ht="12.75">
      <c r="A133" s="126"/>
      <c r="B133" s="157" t="s">
        <v>91</v>
      </c>
      <c r="C133" s="173"/>
      <c r="D133" s="155"/>
      <c r="E133" s="174"/>
      <c r="F133" s="174"/>
      <c r="G133" s="174">
        <f>10000000-G132</f>
        <v>0</v>
      </c>
      <c r="H133" s="155">
        <f t="shared" si="0"/>
        <v>0</v>
      </c>
    </row>
    <row r="134" spans="1:8" ht="12.75">
      <c r="A134" s="126"/>
      <c r="B134" s="157" t="s">
        <v>87</v>
      </c>
      <c r="C134" s="173"/>
      <c r="D134" s="155"/>
      <c r="E134" s="174"/>
      <c r="F134" s="174"/>
      <c r="G134" s="174"/>
      <c r="H134" s="155">
        <f t="shared" si="0"/>
        <v>0</v>
      </c>
    </row>
    <row r="135" spans="1:8" ht="12.75">
      <c r="A135" s="126"/>
      <c r="B135" s="157" t="s">
        <v>92</v>
      </c>
      <c r="C135" s="173"/>
      <c r="D135" s="155">
        <f>+D132+D133-D134</f>
        <v>0</v>
      </c>
      <c r="E135" s="155">
        <f>+E132+E133-E134</f>
        <v>0</v>
      </c>
      <c r="F135" s="155">
        <f>+F132+F133-F134</f>
        <v>0</v>
      </c>
      <c r="G135" s="155">
        <f>+G132+G133-G134</f>
        <v>10000000</v>
      </c>
      <c r="H135" s="155">
        <f t="shared" si="0"/>
        <v>10000000</v>
      </c>
    </row>
    <row r="136" spans="1:8" ht="12.75">
      <c r="A136" s="126"/>
      <c r="B136" s="158" t="s">
        <v>93</v>
      </c>
      <c r="C136" s="173"/>
      <c r="D136" s="155"/>
      <c r="E136" s="174"/>
      <c r="F136" s="174"/>
      <c r="G136" s="174"/>
      <c r="H136" s="155">
        <f t="shared" si="0"/>
        <v>0</v>
      </c>
    </row>
    <row r="137" spans="1:8" ht="12.75">
      <c r="A137" s="126"/>
      <c r="B137" s="157" t="s">
        <v>94</v>
      </c>
      <c r="C137" s="173"/>
      <c r="D137" s="174">
        <f>+D126-D132</f>
        <v>0</v>
      </c>
      <c r="E137" s="174"/>
      <c r="F137" s="174"/>
      <c r="G137" s="174">
        <f>+G126-G132</f>
        <v>0</v>
      </c>
      <c r="H137" s="155">
        <f t="shared" si="0"/>
        <v>0</v>
      </c>
    </row>
    <row r="138" spans="1:8" ht="12.75">
      <c r="A138" s="126"/>
      <c r="B138" s="175" t="s">
        <v>95</v>
      </c>
      <c r="C138" s="176"/>
      <c r="D138" s="178">
        <f>+D130-D135</f>
        <v>20000000</v>
      </c>
      <c r="E138" s="178"/>
      <c r="F138" s="178"/>
      <c r="G138" s="178">
        <f>+G130-G135</f>
        <v>43994880</v>
      </c>
      <c r="H138" s="177">
        <f t="shared" si="0"/>
        <v>63994880</v>
      </c>
    </row>
    <row r="139" spans="1:8" ht="12.75">
      <c r="A139" s="126"/>
      <c r="B139" s="126"/>
      <c r="C139" s="140"/>
      <c r="D139" s="145"/>
      <c r="E139" s="145"/>
      <c r="F139" s="147" t="s">
        <v>635</v>
      </c>
      <c r="G139" s="147" t="s">
        <v>634</v>
      </c>
      <c r="H139" s="126"/>
    </row>
    <row r="140" spans="1:8" ht="15">
      <c r="A140" s="126"/>
      <c r="B140" s="125" t="s">
        <v>113</v>
      </c>
      <c r="C140" s="140"/>
      <c r="D140" s="145"/>
      <c r="E140" s="147">
        <f>+F140-'CDKT-page1-2 ok'!F53</f>
        <v>0</v>
      </c>
      <c r="F140" s="468">
        <f>+F141+F143</f>
        <v>8397717696</v>
      </c>
      <c r="G140" s="147">
        <f>SUM(G141:G154)</f>
        <v>0</v>
      </c>
      <c r="H140" s="134"/>
    </row>
    <row r="141" spans="1:8" ht="12.75">
      <c r="A141" s="126"/>
      <c r="B141" s="125" t="s">
        <v>725</v>
      </c>
      <c r="C141" s="140"/>
      <c r="D141" s="145"/>
      <c r="E141" s="145"/>
      <c r="F141" s="467">
        <v>179090909</v>
      </c>
      <c r="G141" s="145"/>
      <c r="H141" s="126"/>
    </row>
    <row r="142" spans="1:8" ht="12.75">
      <c r="A142" s="126"/>
      <c r="B142" s="126" t="s">
        <v>726</v>
      </c>
      <c r="C142" s="140"/>
      <c r="D142" s="145"/>
      <c r="E142" s="145"/>
      <c r="F142" s="467"/>
      <c r="G142" s="145"/>
      <c r="H142" s="126"/>
    </row>
    <row r="143" spans="1:8" ht="12.75">
      <c r="A143" s="126"/>
      <c r="B143" s="125" t="s">
        <v>417</v>
      </c>
      <c r="C143" s="140"/>
      <c r="D143" s="145"/>
      <c r="E143" s="145"/>
      <c r="F143" s="467">
        <f>SUM(F144:F154)</f>
        <v>8218626787</v>
      </c>
      <c r="G143" s="145"/>
      <c r="H143" s="126"/>
    </row>
    <row r="144" spans="1:8" ht="12.75">
      <c r="A144" s="126"/>
      <c r="B144" s="181" t="s">
        <v>713</v>
      </c>
      <c r="C144" s="140"/>
      <c r="D144" s="145"/>
      <c r="E144" s="145"/>
      <c r="F144" s="145">
        <v>10909091</v>
      </c>
      <c r="G144" s="145"/>
      <c r="H144" s="126"/>
    </row>
    <row r="145" spans="1:8" ht="12.75">
      <c r="A145" s="126"/>
      <c r="B145" s="55" t="s">
        <v>714</v>
      </c>
      <c r="C145" s="140"/>
      <c r="D145" s="145"/>
      <c r="E145" s="145"/>
      <c r="F145" s="145"/>
      <c r="G145" s="145"/>
      <c r="H145" s="126"/>
    </row>
    <row r="146" spans="1:8" ht="12.75">
      <c r="A146" s="126"/>
      <c r="B146" s="181" t="s">
        <v>718</v>
      </c>
      <c r="C146" s="140"/>
      <c r="D146" s="145"/>
      <c r="E146" s="145"/>
      <c r="F146" s="145">
        <v>120000000</v>
      </c>
      <c r="G146" s="145"/>
      <c r="H146" s="126"/>
    </row>
    <row r="147" spans="1:8" ht="12.75">
      <c r="A147" s="126"/>
      <c r="B147" s="55" t="s">
        <v>715</v>
      </c>
      <c r="C147" s="140"/>
      <c r="D147" s="145"/>
      <c r="E147" s="145"/>
      <c r="F147" s="145"/>
      <c r="G147" s="145"/>
      <c r="H147" s="126"/>
    </row>
    <row r="148" spans="1:8" ht="12.75">
      <c r="A148" s="126"/>
      <c r="B148" s="181" t="s">
        <v>719</v>
      </c>
      <c r="C148" s="140"/>
      <c r="D148" s="145"/>
      <c r="E148" s="145"/>
      <c r="F148" s="145">
        <v>15498182</v>
      </c>
      <c r="G148" s="145"/>
      <c r="H148" s="126"/>
    </row>
    <row r="149" spans="1:8" ht="12.75">
      <c r="A149" s="126"/>
      <c r="B149" s="55" t="s">
        <v>716</v>
      </c>
      <c r="C149" s="140"/>
      <c r="D149" s="145"/>
      <c r="E149" s="145"/>
      <c r="F149" s="145"/>
      <c r="G149" s="145"/>
      <c r="H149" s="126"/>
    </row>
    <row r="150" spans="1:8" ht="12.75">
      <c r="A150" s="126"/>
      <c r="B150" s="55" t="s">
        <v>717</v>
      </c>
      <c r="C150" s="140"/>
      <c r="D150" s="145"/>
      <c r="E150" s="145"/>
      <c r="F150" s="145"/>
      <c r="G150" s="145"/>
      <c r="H150" s="126"/>
    </row>
    <row r="151" spans="1:8" ht="12.75">
      <c r="A151" s="126"/>
      <c r="B151" s="181" t="s">
        <v>299</v>
      </c>
      <c r="C151" s="140"/>
      <c r="D151" s="145"/>
      <c r="E151" s="145"/>
      <c r="F151" s="145">
        <v>50000000</v>
      </c>
      <c r="G151" s="145"/>
      <c r="H151" s="126"/>
    </row>
    <row r="152" spans="1:8" ht="12.75">
      <c r="A152" s="126"/>
      <c r="B152" s="55" t="s">
        <v>300</v>
      </c>
      <c r="C152" s="140"/>
      <c r="D152" s="145"/>
      <c r="E152" s="145"/>
      <c r="F152" s="145"/>
      <c r="G152" s="145"/>
      <c r="H152" s="126"/>
    </row>
    <row r="153" spans="1:8" ht="12.75">
      <c r="A153" s="126"/>
      <c r="B153" s="181" t="s">
        <v>720</v>
      </c>
      <c r="C153" s="140"/>
      <c r="D153" s="145"/>
      <c r="E153" s="145"/>
      <c r="F153" s="145">
        <v>11167000</v>
      </c>
      <c r="G153" s="145"/>
      <c r="H153" s="126"/>
    </row>
    <row r="154" spans="1:8" ht="12.75">
      <c r="A154" s="126"/>
      <c r="B154" s="181" t="s">
        <v>722</v>
      </c>
      <c r="C154" s="140"/>
      <c r="D154" s="145"/>
      <c r="E154" s="145"/>
      <c r="F154" s="145">
        <v>8011052514</v>
      </c>
      <c r="G154" s="145"/>
      <c r="H154" s="126"/>
    </row>
    <row r="155" spans="1:8" ht="12.75">
      <c r="A155" s="126"/>
      <c r="B155" s="125" t="s">
        <v>114</v>
      </c>
      <c r="C155" s="140"/>
      <c r="D155" s="145"/>
      <c r="E155" s="145"/>
      <c r="F155" s="145"/>
      <c r="G155" s="145"/>
      <c r="H155" s="126"/>
    </row>
    <row r="156" spans="1:8" ht="12.75">
      <c r="A156" s="126"/>
      <c r="B156" s="125" t="s">
        <v>115</v>
      </c>
      <c r="C156" s="140"/>
      <c r="D156" s="145"/>
      <c r="E156" s="145"/>
      <c r="F156" s="145" t="s">
        <v>635</v>
      </c>
      <c r="G156" s="145" t="s">
        <v>634</v>
      </c>
      <c r="H156" s="126"/>
    </row>
    <row r="157" spans="1:8" ht="12.75">
      <c r="A157" s="126"/>
      <c r="B157" s="135" t="s">
        <v>116</v>
      </c>
      <c r="C157" s="140"/>
      <c r="D157" s="145"/>
      <c r="E157" s="145">
        <f>+F157-'CDKT-page1-2 ok'!F59</f>
        <v>0</v>
      </c>
      <c r="F157" s="179">
        <f>SUM(F158:F164)</f>
        <v>7533430000</v>
      </c>
      <c r="G157" s="179">
        <f>SUM(G158:G164)</f>
        <v>6202880000</v>
      </c>
      <c r="H157" s="145"/>
    </row>
    <row r="158" spans="1:8" ht="12.75">
      <c r="A158" s="126"/>
      <c r="B158" s="55" t="s">
        <v>676</v>
      </c>
      <c r="C158" s="140"/>
      <c r="D158" s="145"/>
      <c r="E158" s="145"/>
      <c r="F158" s="140">
        <v>1661880000</v>
      </c>
      <c r="G158" s="140">
        <v>1661880000</v>
      </c>
      <c r="H158" s="145"/>
    </row>
    <row r="159" spans="1:8" ht="12.75">
      <c r="A159" s="126"/>
      <c r="B159" s="55" t="s">
        <v>679</v>
      </c>
      <c r="C159" s="140"/>
      <c r="D159" s="145"/>
      <c r="E159" s="145"/>
      <c r="F159" s="140">
        <v>1919150000</v>
      </c>
      <c r="G159" s="140"/>
      <c r="H159" s="145"/>
    </row>
    <row r="160" spans="1:8" ht="12.75">
      <c r="A160" s="126"/>
      <c r="B160" s="55" t="s">
        <v>677</v>
      </c>
      <c r="C160" s="140"/>
      <c r="D160" s="145"/>
      <c r="E160" s="145"/>
      <c r="F160" s="140">
        <v>445400000</v>
      </c>
      <c r="G160" s="140"/>
      <c r="H160" s="145"/>
    </row>
    <row r="161" spans="1:8" ht="12.75">
      <c r="A161" s="126"/>
      <c r="B161" s="55" t="s">
        <v>678</v>
      </c>
      <c r="C161" s="140"/>
      <c r="D161" s="145"/>
      <c r="E161" s="145"/>
      <c r="F161" s="140">
        <v>200000000</v>
      </c>
      <c r="G161" s="140">
        <v>200000000</v>
      </c>
      <c r="H161" s="145"/>
    </row>
    <row r="162" spans="1:8" ht="12.75">
      <c r="A162" s="126"/>
      <c r="B162" s="55" t="s">
        <v>131</v>
      </c>
      <c r="C162" s="140"/>
      <c r="D162" s="145"/>
      <c r="E162" s="145"/>
      <c r="F162" s="140">
        <v>3207000000</v>
      </c>
      <c r="G162" s="140"/>
      <c r="H162" s="145"/>
    </row>
    <row r="163" spans="1:8" ht="12.75">
      <c r="A163" s="126"/>
      <c r="B163" s="55" t="s">
        <v>132</v>
      </c>
      <c r="C163" s="140"/>
      <c r="D163" s="145"/>
      <c r="E163" s="145"/>
      <c r="F163" s="140">
        <v>100000000</v>
      </c>
      <c r="G163" s="140"/>
      <c r="H163" s="145"/>
    </row>
    <row r="164" spans="1:8" ht="12.75">
      <c r="A164" s="126"/>
      <c r="B164" s="55" t="s">
        <v>721</v>
      </c>
      <c r="C164" s="140"/>
      <c r="D164" s="145"/>
      <c r="E164" s="145"/>
      <c r="F164" s="140">
        <v>0</v>
      </c>
      <c r="G164" s="140">
        <v>4341000000</v>
      </c>
      <c r="H164" s="145"/>
    </row>
    <row r="165" spans="1:8" ht="12.75">
      <c r="A165" s="126"/>
      <c r="B165" s="55"/>
      <c r="C165" s="140"/>
      <c r="D165" s="145"/>
      <c r="E165" s="145"/>
      <c r="F165" s="268"/>
      <c r="G165" s="140"/>
      <c r="H165" s="145"/>
    </row>
    <row r="166" spans="1:8" ht="12.75">
      <c r="A166" s="126"/>
      <c r="B166" s="180" t="s">
        <v>117</v>
      </c>
      <c r="C166" s="142"/>
      <c r="D166" s="147"/>
      <c r="E166" s="147">
        <f>+F166-'CDKT-page1-2 ok'!F63</f>
        <v>0</v>
      </c>
      <c r="F166" s="147">
        <f>SUM(F167:F174)</f>
        <v>2450551502</v>
      </c>
      <c r="G166" s="147">
        <f>SUM(G167:G174)</f>
        <v>2469543994</v>
      </c>
      <c r="H166" s="134"/>
    </row>
    <row r="167" spans="1:8" ht="12.75">
      <c r="A167" s="126"/>
      <c r="B167" s="181" t="s">
        <v>118</v>
      </c>
      <c r="C167" s="140"/>
      <c r="D167" s="145"/>
      <c r="E167" s="145"/>
      <c r="F167" s="145">
        <v>86348214</v>
      </c>
      <c r="G167" s="145">
        <v>172696446</v>
      </c>
      <c r="H167" s="126"/>
    </row>
    <row r="168" spans="1:8" ht="12.75">
      <c r="A168" s="126"/>
      <c r="B168" s="181" t="s">
        <v>119</v>
      </c>
      <c r="C168" s="140"/>
      <c r="D168" s="145"/>
      <c r="E168" s="145"/>
      <c r="F168" s="145">
        <v>181141193</v>
      </c>
      <c r="G168" s="145">
        <v>362282369</v>
      </c>
      <c r="H168" s="126"/>
    </row>
    <row r="169" spans="1:8" ht="12.75">
      <c r="A169" s="126"/>
      <c r="B169" s="181" t="s">
        <v>120</v>
      </c>
      <c r="C169" s="140"/>
      <c r="D169" s="145"/>
      <c r="E169" s="145"/>
      <c r="F169" s="145">
        <v>131597967</v>
      </c>
      <c r="G169" s="145">
        <v>263195931</v>
      </c>
      <c r="H169" s="126"/>
    </row>
    <row r="170" spans="1:8" ht="12.75">
      <c r="A170" s="126"/>
      <c r="B170" s="55" t="s">
        <v>133</v>
      </c>
      <c r="C170" s="140"/>
      <c r="D170" s="145"/>
      <c r="E170" s="145"/>
      <c r="F170" s="145">
        <v>248418963</v>
      </c>
      <c r="G170" s="145">
        <f>77490000+41127881+175577153+3627084+24404887+6920021+54859341</f>
        <v>384006367</v>
      </c>
      <c r="H170" s="126"/>
    </row>
    <row r="171" spans="1:8" ht="12.75">
      <c r="A171" s="126"/>
      <c r="B171" s="181" t="s">
        <v>121</v>
      </c>
      <c r="C171" s="140"/>
      <c r="D171" s="145"/>
      <c r="E171" s="145"/>
      <c r="F171" s="145">
        <v>56187026</v>
      </c>
      <c r="G171" s="145">
        <f>8447619+722224+3413574+14186600+2722224+54331783</f>
        <v>83824024</v>
      </c>
      <c r="H171" s="126"/>
    </row>
    <row r="172" spans="1:8" ht="12.75">
      <c r="A172" s="126"/>
      <c r="B172" s="181" t="s">
        <v>170</v>
      </c>
      <c r="C172" s="140"/>
      <c r="D172" s="145"/>
      <c r="E172" s="145"/>
      <c r="F172" s="145">
        <v>632422821</v>
      </c>
      <c r="G172" s="145"/>
      <c r="H172" s="126"/>
    </row>
    <row r="173" spans="1:8" ht="12.75">
      <c r="A173" s="126"/>
      <c r="B173" s="181" t="s">
        <v>122</v>
      </c>
      <c r="C173" s="140"/>
      <c r="D173" s="145"/>
      <c r="E173" s="145"/>
      <c r="F173" s="145">
        <v>0</v>
      </c>
      <c r="G173" s="145">
        <v>32552269</v>
      </c>
      <c r="H173" s="126"/>
    </row>
    <row r="174" spans="1:8" ht="12.75">
      <c r="A174" s="126"/>
      <c r="B174" s="181" t="s">
        <v>123</v>
      </c>
      <c r="C174" s="140"/>
      <c r="D174" s="145"/>
      <c r="E174" s="145"/>
      <c r="F174" s="145">
        <v>1114435318</v>
      </c>
      <c r="G174" s="145">
        <v>1170986588</v>
      </c>
      <c r="H174" s="126"/>
    </row>
    <row r="175" spans="1:8" ht="12.75">
      <c r="A175" s="126"/>
      <c r="B175" s="125" t="s">
        <v>124</v>
      </c>
      <c r="C175" s="140"/>
      <c r="D175" s="145"/>
      <c r="E175" s="145" t="s">
        <v>45</v>
      </c>
      <c r="F175" s="145" t="s">
        <v>44</v>
      </c>
      <c r="G175" s="145" t="s">
        <v>634</v>
      </c>
      <c r="H175" s="126"/>
    </row>
    <row r="176" spans="1:8" ht="12.75">
      <c r="A176" s="126"/>
      <c r="B176" s="125"/>
      <c r="C176" s="140"/>
      <c r="D176" s="145"/>
      <c r="E176" s="145"/>
      <c r="F176" s="145"/>
      <c r="G176" s="145"/>
      <c r="H176" s="126"/>
    </row>
    <row r="177" spans="1:8" ht="12.75">
      <c r="A177" s="126"/>
      <c r="B177" s="126" t="s">
        <v>125</v>
      </c>
      <c r="C177" s="140"/>
      <c r="D177" s="145"/>
      <c r="E177" s="134">
        <f>+F177-'CDKT-page1-2 ok'!F71</f>
        <v>0</v>
      </c>
      <c r="F177" s="147">
        <f>+F178+F181</f>
        <v>16923987462</v>
      </c>
      <c r="G177" s="147">
        <f>+G178+G181</f>
        <v>29385867534</v>
      </c>
      <c r="H177" s="134"/>
    </row>
    <row r="178" spans="1:8" ht="12.75">
      <c r="A178" s="126"/>
      <c r="B178" s="182" t="s">
        <v>126</v>
      </c>
      <c r="C178" s="142"/>
      <c r="D178" s="147"/>
      <c r="E178" s="183">
        <f>+E179+E180</f>
        <v>332135.78</v>
      </c>
      <c r="F178" s="179">
        <f>+F179+F180</f>
        <v>5319154517</v>
      </c>
      <c r="G178" s="179">
        <f>+G179+G180</f>
        <v>11460277085</v>
      </c>
      <c r="H178" s="126"/>
    </row>
    <row r="179" spans="1:8" ht="12.75">
      <c r="A179" s="126"/>
      <c r="B179" s="184" t="s">
        <v>127</v>
      </c>
      <c r="C179" s="140"/>
      <c r="D179" s="145"/>
      <c r="E179" s="150">
        <v>258941.34</v>
      </c>
      <c r="F179" s="145">
        <v>4146945560</v>
      </c>
      <c r="G179" s="145">
        <f>4691164286-277834</f>
        <v>4690886452</v>
      </c>
      <c r="H179" s="126"/>
    </row>
    <row r="180" spans="1:8" ht="12.75">
      <c r="A180" s="126"/>
      <c r="B180" s="184" t="s">
        <v>128</v>
      </c>
      <c r="C180" s="140"/>
      <c r="D180" s="145"/>
      <c r="E180" s="150">
        <v>73194.44</v>
      </c>
      <c r="F180" s="145">
        <v>1172208957</v>
      </c>
      <c r="G180" s="145">
        <f>6771372059-1981426</f>
        <v>6769390633</v>
      </c>
      <c r="H180" s="126"/>
    </row>
    <row r="181" spans="1:8" ht="12.75">
      <c r="A181" s="126"/>
      <c r="B181" s="182" t="s">
        <v>171</v>
      </c>
      <c r="C181" s="142"/>
      <c r="D181" s="147"/>
      <c r="E181" s="147"/>
      <c r="F181" s="147">
        <f>+F182+F183</f>
        <v>11604832945</v>
      </c>
      <c r="G181" s="147">
        <f>+G182+G183</f>
        <v>17925590449</v>
      </c>
      <c r="H181" s="126"/>
    </row>
    <row r="182" spans="1:8" ht="12.75">
      <c r="A182" s="126"/>
      <c r="B182" s="184" t="s">
        <v>127</v>
      </c>
      <c r="C182" s="140"/>
      <c r="D182" s="145"/>
      <c r="E182" s="145"/>
      <c r="F182" s="145">
        <v>10008474685</v>
      </c>
      <c r="G182" s="145">
        <v>13452509818</v>
      </c>
      <c r="H182" s="126"/>
    </row>
    <row r="183" spans="1:8" ht="12.75">
      <c r="A183" s="126"/>
      <c r="B183" s="184" t="s">
        <v>128</v>
      </c>
      <c r="C183" s="140"/>
      <c r="D183" s="145"/>
      <c r="E183" s="145"/>
      <c r="F183" s="145">
        <v>1596358260</v>
      </c>
      <c r="G183" s="145">
        <v>4473080631</v>
      </c>
      <c r="H183" s="126"/>
    </row>
    <row r="184" spans="1:8" ht="12.75">
      <c r="A184" s="126"/>
      <c r="B184" s="126"/>
      <c r="C184" s="126"/>
      <c r="D184" s="126"/>
      <c r="E184" s="126"/>
      <c r="F184" s="126"/>
      <c r="G184" s="126"/>
      <c r="H184" s="126"/>
    </row>
    <row r="185" spans="1:8" ht="12.75">
      <c r="A185" s="126"/>
      <c r="B185" s="125" t="s">
        <v>137</v>
      </c>
      <c r="C185" s="126"/>
      <c r="D185" s="126"/>
      <c r="E185" s="134"/>
      <c r="F185" s="147" t="s">
        <v>44</v>
      </c>
      <c r="G185" s="147" t="s">
        <v>634</v>
      </c>
      <c r="H185" s="134"/>
    </row>
    <row r="186" spans="1:8" ht="12.75">
      <c r="A186" s="126"/>
      <c r="B186" s="125"/>
      <c r="C186" s="126"/>
      <c r="D186" s="126"/>
      <c r="E186" s="126"/>
      <c r="F186" s="147"/>
      <c r="G186" s="147"/>
      <c r="H186" s="126"/>
    </row>
    <row r="187" spans="1:8" ht="12.75">
      <c r="A187" s="126"/>
      <c r="B187" s="126" t="s">
        <v>554</v>
      </c>
      <c r="C187" s="126"/>
      <c r="D187" s="126"/>
      <c r="E187" s="134"/>
      <c r="F187" s="140">
        <v>1238610567</v>
      </c>
      <c r="G187" s="140">
        <v>620287900</v>
      </c>
      <c r="H187" s="134"/>
    </row>
    <row r="188" spans="1:8" ht="12.75">
      <c r="A188" s="126"/>
      <c r="B188" s="126" t="s">
        <v>138</v>
      </c>
      <c r="C188" s="126"/>
      <c r="D188" s="126"/>
      <c r="E188" s="126"/>
      <c r="F188" s="140"/>
      <c r="G188" s="140"/>
      <c r="H188" s="126"/>
    </row>
    <row r="189" spans="1:8" ht="12.75">
      <c r="A189" s="126"/>
      <c r="B189" s="126" t="s">
        <v>340</v>
      </c>
      <c r="C189" s="126"/>
      <c r="D189" s="126"/>
      <c r="E189" s="134"/>
      <c r="F189" s="140">
        <v>236284599</v>
      </c>
      <c r="G189" s="140">
        <v>8774906</v>
      </c>
      <c r="H189" s="126"/>
    </row>
    <row r="190" spans="1:8" ht="12.75">
      <c r="A190" s="126"/>
      <c r="B190" s="126" t="s">
        <v>555</v>
      </c>
      <c r="C190" s="126"/>
      <c r="D190" s="126"/>
      <c r="E190" s="134"/>
      <c r="F190" s="140">
        <v>7711980</v>
      </c>
      <c r="G190" s="140">
        <f>132727224+20718901</f>
        <v>153446125</v>
      </c>
      <c r="H190" s="126"/>
    </row>
    <row r="191" spans="1:8" ht="12.75">
      <c r="A191" s="126"/>
      <c r="B191" s="125" t="s">
        <v>142</v>
      </c>
      <c r="C191" s="125"/>
      <c r="D191" s="125"/>
      <c r="E191" s="134">
        <f>+F191-'CDKT-page1-2 ok'!F74</f>
        <v>0</v>
      </c>
      <c r="F191" s="142">
        <f>SUM(F187:F190)</f>
        <v>1482607146</v>
      </c>
      <c r="G191" s="142">
        <f>SUM(G187:G190)</f>
        <v>782508931</v>
      </c>
      <c r="H191" s="134"/>
    </row>
    <row r="192" spans="1:8" ht="12.75" hidden="1">
      <c r="A192" s="126"/>
      <c r="B192" s="185" t="s">
        <v>143</v>
      </c>
      <c r="C192" s="126"/>
      <c r="D192" s="126"/>
      <c r="E192" s="140">
        <f>+'[1]KQKoanh day du nam'!K28</f>
        <v>0</v>
      </c>
      <c r="F192" s="134"/>
      <c r="G192" s="142"/>
      <c r="H192" s="134"/>
    </row>
    <row r="193" spans="1:8" ht="12.75" hidden="1">
      <c r="A193" s="126"/>
      <c r="B193" s="185" t="s">
        <v>144</v>
      </c>
      <c r="C193" s="126"/>
      <c r="D193" s="126"/>
      <c r="E193" s="140"/>
      <c r="F193" s="134"/>
      <c r="G193" s="142"/>
      <c r="H193" s="134"/>
    </row>
    <row r="194" spans="1:8" ht="12.75" hidden="1">
      <c r="A194" s="126"/>
      <c r="B194" s="185" t="s">
        <v>145</v>
      </c>
      <c r="C194" s="126"/>
      <c r="D194" s="126"/>
      <c r="E194" s="140"/>
      <c r="F194" s="126"/>
      <c r="G194" s="140"/>
      <c r="H194" s="126"/>
    </row>
    <row r="195" spans="1:8" ht="12.75" hidden="1">
      <c r="A195" s="126"/>
      <c r="B195" s="185" t="s">
        <v>146</v>
      </c>
      <c r="C195" s="126"/>
      <c r="D195" s="126"/>
      <c r="E195" s="140"/>
      <c r="F195" s="126"/>
      <c r="G195" s="140"/>
      <c r="H195" s="126"/>
    </row>
    <row r="196" spans="1:8" ht="12.75" hidden="1">
      <c r="A196" s="126"/>
      <c r="B196" s="126" t="s">
        <v>147</v>
      </c>
      <c r="C196" s="126"/>
      <c r="D196" s="126"/>
      <c r="E196" s="140"/>
      <c r="F196" s="126" t="s">
        <v>148</v>
      </c>
      <c r="G196" s="140"/>
      <c r="H196" s="126"/>
    </row>
    <row r="197" spans="1:8" ht="12.75">
      <c r="A197" s="126"/>
      <c r="B197" s="126"/>
      <c r="C197" s="126"/>
      <c r="D197" s="126"/>
      <c r="E197" s="134"/>
      <c r="F197" s="140"/>
      <c r="G197" s="140"/>
      <c r="H197" s="126"/>
    </row>
    <row r="198" spans="1:8" ht="12.75">
      <c r="A198" s="126"/>
      <c r="B198" s="125" t="s">
        <v>149</v>
      </c>
      <c r="C198" s="126"/>
      <c r="D198" s="126"/>
      <c r="E198" s="126"/>
      <c r="F198" s="147" t="s">
        <v>44</v>
      </c>
      <c r="G198" s="147" t="s">
        <v>634</v>
      </c>
      <c r="H198" s="126"/>
    </row>
    <row r="199" spans="1:8" ht="12.75">
      <c r="A199" s="126"/>
      <c r="B199" s="126" t="s">
        <v>134</v>
      </c>
      <c r="C199" s="126"/>
      <c r="D199" s="126"/>
      <c r="E199" s="134"/>
      <c r="F199" s="140">
        <v>80000000</v>
      </c>
      <c r="G199" s="140">
        <v>0</v>
      </c>
      <c r="H199" s="134"/>
    </row>
    <row r="200" spans="1:8" ht="12.75">
      <c r="A200" s="126"/>
      <c r="B200" s="135" t="s">
        <v>194</v>
      </c>
      <c r="C200" s="126"/>
      <c r="D200" s="126"/>
      <c r="E200" s="134"/>
      <c r="F200" s="140"/>
      <c r="G200" s="140"/>
      <c r="H200" s="134"/>
    </row>
    <row r="201" spans="1:8" ht="12.75">
      <c r="A201" s="126"/>
      <c r="B201" s="135" t="s">
        <v>135</v>
      </c>
      <c r="C201" s="126"/>
      <c r="D201" s="126"/>
      <c r="E201" s="134"/>
      <c r="F201" s="140">
        <f>+F202+F203</f>
        <v>283713443</v>
      </c>
      <c r="G201" s="140"/>
      <c r="H201" s="134"/>
    </row>
    <row r="202" spans="1:8" ht="12.75">
      <c r="A202" s="126"/>
      <c r="B202" s="218" t="s">
        <v>4</v>
      </c>
      <c r="C202" s="126"/>
      <c r="D202" s="126"/>
      <c r="E202" s="134"/>
      <c r="F202" s="140">
        <v>207010816</v>
      </c>
      <c r="G202" s="140"/>
      <c r="H202" s="134"/>
    </row>
    <row r="203" spans="1:8" ht="12.75">
      <c r="A203" s="126"/>
      <c r="B203" s="218" t="s">
        <v>5</v>
      </c>
      <c r="C203" s="126"/>
      <c r="D203" s="126"/>
      <c r="E203" s="134"/>
      <c r="F203" s="140">
        <v>76702627</v>
      </c>
      <c r="G203" s="140"/>
      <c r="H203" s="134"/>
    </row>
    <row r="204" spans="1:8" ht="12.75">
      <c r="A204" s="126"/>
      <c r="B204" s="218"/>
      <c r="C204" s="126"/>
      <c r="D204" s="126"/>
      <c r="E204" s="134"/>
      <c r="F204" s="140"/>
      <c r="G204" s="140"/>
      <c r="H204" s="134"/>
    </row>
    <row r="205" spans="1:8" ht="12.75">
      <c r="A205" s="126"/>
      <c r="B205" s="125" t="s">
        <v>150</v>
      </c>
      <c r="C205" s="126"/>
      <c r="D205" s="126"/>
      <c r="E205" s="134">
        <f>+F205-'CDKT-page1-2 ok'!F76</f>
        <v>0</v>
      </c>
      <c r="F205" s="142">
        <f>SUM(F199:F201)</f>
        <v>363713443</v>
      </c>
      <c r="G205" s="142">
        <f>SUM(G199:G201)</f>
        <v>0</v>
      </c>
      <c r="H205" s="126"/>
    </row>
    <row r="206" spans="1:8" ht="12.75">
      <c r="A206" s="126"/>
      <c r="B206" s="126"/>
      <c r="C206" s="126"/>
      <c r="D206" s="126"/>
      <c r="E206" s="126"/>
      <c r="F206" s="140"/>
      <c r="G206" s="140"/>
      <c r="H206" s="126"/>
    </row>
    <row r="207" spans="1:8" ht="12.75">
      <c r="A207" s="126"/>
      <c r="B207" s="125" t="s">
        <v>151</v>
      </c>
      <c r="C207" s="126"/>
      <c r="D207" s="126"/>
      <c r="E207" s="126"/>
      <c r="F207" s="147" t="s">
        <v>44</v>
      </c>
      <c r="G207" s="147" t="s">
        <v>634</v>
      </c>
      <c r="H207" s="126"/>
    </row>
    <row r="208" spans="1:8" ht="12.75">
      <c r="A208" s="126"/>
      <c r="B208" s="181" t="s">
        <v>152</v>
      </c>
      <c r="C208" s="126"/>
      <c r="D208" s="126"/>
      <c r="E208" s="126"/>
      <c r="F208" s="140"/>
      <c r="G208" s="140"/>
      <c r="H208" s="126"/>
    </row>
    <row r="209" spans="1:8" ht="12.75">
      <c r="A209" s="126"/>
      <c r="B209" s="181" t="s">
        <v>153</v>
      </c>
      <c r="C209" s="126"/>
      <c r="D209" s="126"/>
      <c r="E209" s="126"/>
      <c r="F209" s="140">
        <v>713137145</v>
      </c>
      <c r="G209" s="140">
        <v>162658140</v>
      </c>
      <c r="H209" s="126"/>
    </row>
    <row r="210" spans="1:8" ht="12.75">
      <c r="A210" s="126"/>
      <c r="B210" s="181" t="s">
        <v>154</v>
      </c>
      <c r="C210" s="126"/>
      <c r="D210" s="126"/>
      <c r="E210" s="126"/>
      <c r="F210" s="140">
        <v>150380040</v>
      </c>
      <c r="G210" s="140">
        <v>266733407</v>
      </c>
      <c r="H210" s="126"/>
    </row>
    <row r="211" spans="1:8" ht="12.75">
      <c r="A211" s="126"/>
      <c r="B211" s="181" t="s">
        <v>155</v>
      </c>
      <c r="C211" s="126"/>
      <c r="D211" s="126"/>
      <c r="E211" s="186"/>
      <c r="F211" s="140">
        <v>0</v>
      </c>
      <c r="G211" s="140">
        <v>27750000</v>
      </c>
      <c r="H211" s="126"/>
    </row>
    <row r="212" spans="1:8" ht="12.75">
      <c r="A212" s="126"/>
      <c r="B212" s="181" t="s">
        <v>156</v>
      </c>
      <c r="C212" s="126"/>
      <c r="D212" s="126"/>
      <c r="E212" s="186">
        <v>128490</v>
      </c>
      <c r="F212" s="140">
        <v>2057767350</v>
      </c>
      <c r="G212" s="140">
        <v>3121758990</v>
      </c>
      <c r="H212" s="126"/>
    </row>
    <row r="213" spans="1:8" ht="12.75">
      <c r="A213" s="126"/>
      <c r="B213" s="181" t="s">
        <v>157</v>
      </c>
      <c r="C213" s="126"/>
      <c r="D213" s="126"/>
      <c r="E213" s="126"/>
      <c r="F213" s="140">
        <v>20000000</v>
      </c>
      <c r="G213" s="140">
        <v>20000000</v>
      </c>
      <c r="H213" s="126"/>
    </row>
    <row r="214" spans="1:8" ht="12.75">
      <c r="A214" s="126"/>
      <c r="B214" s="181" t="s">
        <v>158</v>
      </c>
      <c r="C214" s="126"/>
      <c r="D214" s="126"/>
      <c r="E214" s="186">
        <v>261.89</v>
      </c>
      <c r="F214" s="140">
        <v>4170336</v>
      </c>
      <c r="G214" s="140">
        <v>4170336</v>
      </c>
      <c r="H214" s="126"/>
    </row>
    <row r="215" spans="1:8" ht="12.75">
      <c r="A215" s="126"/>
      <c r="B215" s="422" t="s">
        <v>690</v>
      </c>
      <c r="C215" s="126"/>
      <c r="D215" s="126"/>
      <c r="E215" s="126"/>
      <c r="F215" s="140">
        <v>401235573</v>
      </c>
      <c r="G215" s="140">
        <v>196050787</v>
      </c>
      <c r="H215" s="126"/>
    </row>
    <row r="216" spans="1:8" ht="12.75">
      <c r="A216" s="126"/>
      <c r="B216" s="125" t="s">
        <v>159</v>
      </c>
      <c r="C216" s="126"/>
      <c r="D216" s="126"/>
      <c r="E216" s="134">
        <f>+F216-'CDKT-page1-2 ok'!F79</f>
        <v>0</v>
      </c>
      <c r="F216" s="142">
        <f>SUM(F208:F215)</f>
        <v>3346690444</v>
      </c>
      <c r="G216" s="142">
        <f>SUM(G208:G215)</f>
        <v>3799121660</v>
      </c>
      <c r="H216" s="134"/>
    </row>
    <row r="217" spans="1:8" ht="12.75">
      <c r="A217" s="126"/>
      <c r="B217" s="125"/>
      <c r="C217" s="126"/>
      <c r="D217" s="126"/>
      <c r="E217" s="134"/>
      <c r="F217" s="142"/>
      <c r="G217" s="142">
        <f>3799121660-G216</f>
        <v>0</v>
      </c>
      <c r="H217" s="134"/>
    </row>
    <row r="218" spans="1:8" ht="12.75">
      <c r="A218" s="126"/>
      <c r="B218" s="125" t="s">
        <v>160</v>
      </c>
      <c r="C218" s="126"/>
      <c r="D218" s="126"/>
      <c r="E218" s="126"/>
      <c r="F218" s="140"/>
      <c r="G218" s="140"/>
      <c r="H218" s="126"/>
    </row>
    <row r="219" spans="1:8" ht="12.75">
      <c r="A219" s="126"/>
      <c r="B219" s="125"/>
      <c r="C219" s="126"/>
      <c r="D219" s="126"/>
      <c r="E219" s="126"/>
      <c r="F219" s="140"/>
      <c r="G219" s="140"/>
      <c r="H219" s="126"/>
    </row>
    <row r="220" spans="1:8" ht="12.75">
      <c r="A220" s="126"/>
      <c r="B220" s="125" t="s">
        <v>161</v>
      </c>
      <c r="C220" s="126"/>
      <c r="D220" s="126"/>
      <c r="E220" s="138" t="s">
        <v>45</v>
      </c>
      <c r="F220" s="147" t="s">
        <v>44</v>
      </c>
      <c r="G220" s="147" t="s">
        <v>634</v>
      </c>
      <c r="H220" s="126"/>
    </row>
    <row r="221" spans="1:8" ht="12.75">
      <c r="A221" s="126"/>
      <c r="B221" s="126" t="s">
        <v>162</v>
      </c>
      <c r="C221" s="126"/>
      <c r="D221" s="126"/>
      <c r="E221" s="186">
        <v>0</v>
      </c>
      <c r="F221" s="140">
        <v>0</v>
      </c>
      <c r="G221" s="140">
        <v>6019125000</v>
      </c>
      <c r="H221" s="126"/>
    </row>
    <row r="222" spans="1:8" ht="12.75">
      <c r="A222" s="126"/>
      <c r="B222" s="126" t="s">
        <v>163</v>
      </c>
      <c r="C222" s="126"/>
      <c r="D222" s="126"/>
      <c r="E222" s="126"/>
      <c r="F222" s="140">
        <f>+F223+F224</f>
        <v>2923843501</v>
      </c>
      <c r="G222" s="140">
        <f>+G223+G224</f>
        <v>9913843501</v>
      </c>
      <c r="H222" s="126"/>
    </row>
    <row r="223" spans="1:8" ht="12.75">
      <c r="A223" s="126"/>
      <c r="B223" s="181" t="s">
        <v>164</v>
      </c>
      <c r="C223" s="126"/>
      <c r="D223" s="126"/>
      <c r="E223" s="126"/>
      <c r="F223" s="140"/>
      <c r="G223" s="140">
        <v>990000000</v>
      </c>
      <c r="H223" s="126"/>
    </row>
    <row r="224" spans="1:8" ht="12.75">
      <c r="A224" s="126"/>
      <c r="B224" s="181" t="s">
        <v>165</v>
      </c>
      <c r="C224" s="126"/>
      <c r="D224" s="126"/>
      <c r="E224" s="126"/>
      <c r="F224" s="140">
        <v>2923843501</v>
      </c>
      <c r="G224" s="140">
        <v>8923843501</v>
      </c>
      <c r="H224" s="126"/>
    </row>
    <row r="225" spans="1:8" ht="12.75">
      <c r="A225" s="126"/>
      <c r="B225" s="180" t="s">
        <v>166</v>
      </c>
      <c r="C225" s="125"/>
      <c r="D225" s="125"/>
      <c r="E225" s="134">
        <f>+F225-'CDKT-page1-2 ok'!F85</f>
        <v>0</v>
      </c>
      <c r="F225" s="142">
        <f>+F222+F221</f>
        <v>2923843501</v>
      </c>
      <c r="G225" s="142">
        <f>+G222+G221</f>
        <v>15932968501</v>
      </c>
      <c r="H225" s="179"/>
    </row>
    <row r="226" spans="1:8" ht="12.75">
      <c r="A226" s="126"/>
      <c r="B226" s="180"/>
      <c r="C226" s="125"/>
      <c r="D226" s="125"/>
      <c r="E226" s="179"/>
      <c r="F226" s="142"/>
      <c r="G226" s="142"/>
      <c r="H226" s="179"/>
    </row>
    <row r="227" spans="1:8" ht="12.75">
      <c r="A227" s="126"/>
      <c r="B227" s="126" t="s">
        <v>167</v>
      </c>
      <c r="C227" s="126"/>
      <c r="D227" s="126"/>
      <c r="E227" s="126"/>
      <c r="F227" s="126"/>
      <c r="G227" s="126"/>
      <c r="H227" s="126"/>
    </row>
  </sheetData>
  <mergeCells count="4">
    <mergeCell ref="A7:H7"/>
    <mergeCell ref="A8:H8"/>
    <mergeCell ref="B98:C98"/>
    <mergeCell ref="B122:C124"/>
  </mergeCells>
  <printOptions/>
  <pageMargins left="0.5" right="0" top="0.75" bottom="0.5" header="0.25" footer="0.25"/>
  <pageSetup horizontalDpi="600" verticalDpi="600" orientation="portrait" paperSize="9" scale="80" r:id="rId1"/>
  <headerFooter alignWithMargins="0">
    <oddFooter>&amp;CTMBCTC QÚY 4/2007&amp;RTrang &amp;P/8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K34"/>
  <sheetViews>
    <sheetView workbookViewId="0" topLeftCell="A1">
      <pane xSplit="2" ySplit="6" topLeftCell="D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1" sqref="L31:Z31"/>
    </sheetView>
  </sheetViews>
  <sheetFormatPr defaultColWidth="8.796875" defaultRowHeight="15"/>
  <cols>
    <col min="1" max="1" width="3.8984375" style="127" customWidth="1"/>
    <col min="2" max="2" width="21.69921875" style="127" customWidth="1"/>
    <col min="3" max="3" width="14.5" style="212" customWidth="1"/>
    <col min="4" max="4" width="13.19921875" style="212" bestFit="1" customWidth="1"/>
    <col min="5" max="5" width="12.09765625" style="212" customWidth="1"/>
    <col min="6" max="6" width="8.69921875" style="212" customWidth="1"/>
    <col min="7" max="7" width="7.8984375" style="212" customWidth="1"/>
    <col min="8" max="8" width="14" style="212" customWidth="1"/>
    <col min="9" max="9" width="13.19921875" style="212" customWidth="1"/>
    <col min="10" max="10" width="14" style="212" customWidth="1"/>
    <col min="11" max="11" width="14.69921875" style="212" customWidth="1"/>
    <col min="12" max="16384" width="9" style="127" customWidth="1"/>
  </cols>
  <sheetData>
    <row r="1" ht="12.75">
      <c r="B1" s="137" t="s">
        <v>172</v>
      </c>
    </row>
    <row r="2" ht="12.75">
      <c r="B2" s="137"/>
    </row>
    <row r="3" ht="12.75">
      <c r="B3" s="137" t="s">
        <v>173</v>
      </c>
    </row>
    <row r="4" spans="2:11" ht="15.75" customHeight="1">
      <c r="B4" s="534" t="s">
        <v>174</v>
      </c>
      <c r="C4" s="537" t="s">
        <v>175</v>
      </c>
      <c r="D4" s="540" t="s">
        <v>622</v>
      </c>
      <c r="E4" s="540" t="s">
        <v>623</v>
      </c>
      <c r="F4" s="543" t="s">
        <v>477</v>
      </c>
      <c r="G4" s="543" t="s">
        <v>624</v>
      </c>
      <c r="H4" s="540" t="s">
        <v>688</v>
      </c>
      <c r="I4" s="540" t="s">
        <v>689</v>
      </c>
      <c r="J4" s="540" t="s">
        <v>176</v>
      </c>
      <c r="K4" s="540" t="s">
        <v>177</v>
      </c>
    </row>
    <row r="5" spans="2:11" ht="12.75">
      <c r="B5" s="535"/>
      <c r="C5" s="538"/>
      <c r="D5" s="541"/>
      <c r="E5" s="541"/>
      <c r="F5" s="544"/>
      <c r="G5" s="544"/>
      <c r="H5" s="541"/>
      <c r="I5" s="541"/>
      <c r="J5" s="541"/>
      <c r="K5" s="541"/>
    </row>
    <row r="6" spans="2:11" ht="60" customHeight="1">
      <c r="B6" s="536"/>
      <c r="C6" s="539"/>
      <c r="D6" s="542"/>
      <c r="E6" s="542"/>
      <c r="F6" s="545"/>
      <c r="G6" s="545"/>
      <c r="H6" s="542"/>
      <c r="I6" s="542"/>
      <c r="J6" s="542"/>
      <c r="K6" s="542"/>
    </row>
    <row r="7" spans="2:11" ht="12.75">
      <c r="B7" s="154" t="s">
        <v>178</v>
      </c>
      <c r="C7" s="155">
        <v>22750000000</v>
      </c>
      <c r="D7" s="155">
        <v>0</v>
      </c>
      <c r="E7" s="155">
        <v>0</v>
      </c>
      <c r="F7" s="155">
        <v>0</v>
      </c>
      <c r="G7" s="155">
        <v>0</v>
      </c>
      <c r="H7" s="155">
        <v>4593934396</v>
      </c>
      <c r="I7" s="155">
        <v>387390401</v>
      </c>
      <c r="J7" s="155">
        <v>-1504009166</v>
      </c>
      <c r="K7" s="155">
        <v>7811970227</v>
      </c>
    </row>
    <row r="8" spans="2:11" ht="12.75">
      <c r="B8" s="156" t="s">
        <v>185</v>
      </c>
      <c r="C8" s="155"/>
      <c r="D8" s="155"/>
      <c r="E8" s="155"/>
      <c r="F8" s="155"/>
      <c r="G8" s="155"/>
      <c r="H8" s="155"/>
      <c r="I8" s="155"/>
      <c r="J8" s="155"/>
      <c r="K8" s="155"/>
    </row>
    <row r="9" spans="2:11" ht="12.75">
      <c r="B9" s="156" t="s">
        <v>186</v>
      </c>
      <c r="C9" s="155"/>
      <c r="D9" s="155"/>
      <c r="E9" s="155"/>
      <c r="F9" s="155"/>
      <c r="G9" s="155"/>
      <c r="H9" s="155"/>
      <c r="I9" s="155"/>
      <c r="J9" s="155"/>
      <c r="K9" s="155">
        <f>12095921335-2413715367</f>
        <v>9682205968</v>
      </c>
    </row>
    <row r="10" spans="2:11" ht="12.75">
      <c r="B10" s="156" t="s">
        <v>291</v>
      </c>
      <c r="C10" s="155"/>
      <c r="D10" s="155"/>
      <c r="E10" s="155"/>
      <c r="F10" s="155"/>
      <c r="G10" s="155"/>
      <c r="H10" s="155"/>
      <c r="I10" s="155"/>
      <c r="J10" s="155"/>
      <c r="K10" s="155">
        <v>3015530</v>
      </c>
    </row>
    <row r="11" spans="2:11" ht="12.75">
      <c r="B11" s="156" t="s">
        <v>681</v>
      </c>
      <c r="C11" s="155"/>
      <c r="D11" s="155"/>
      <c r="E11" s="155"/>
      <c r="F11" s="155"/>
      <c r="G11" s="155"/>
      <c r="H11" s="155"/>
      <c r="I11" s="155"/>
      <c r="J11" s="155"/>
      <c r="K11" s="155">
        <v>639084598</v>
      </c>
    </row>
    <row r="12" spans="2:11" ht="12.75">
      <c r="B12" s="156" t="s">
        <v>187</v>
      </c>
      <c r="C12" s="155"/>
      <c r="D12" s="155"/>
      <c r="E12" s="155"/>
      <c r="F12" s="155"/>
      <c r="G12" s="155"/>
      <c r="H12" s="155">
        <f>4702010286</f>
        <v>4702010286</v>
      </c>
      <c r="I12" s="155">
        <f>354690068</f>
        <v>354690068</v>
      </c>
      <c r="J12" s="155">
        <f>1244023828+7726415</f>
        <v>1251750243</v>
      </c>
      <c r="K12" s="155">
        <f>SUM(C12:J12)</f>
        <v>6308450597</v>
      </c>
    </row>
    <row r="13" spans="2:11" ht="12.75">
      <c r="B13" s="156" t="s">
        <v>188</v>
      </c>
      <c r="C13" s="155"/>
      <c r="D13" s="155"/>
      <c r="E13" s="155"/>
      <c r="F13" s="155"/>
      <c r="G13" s="155"/>
      <c r="H13" s="155">
        <v>2182519216</v>
      </c>
      <c r="I13" s="155">
        <v>452005292</v>
      </c>
      <c r="J13" s="155">
        <v>2182519215</v>
      </c>
      <c r="K13" s="155">
        <f>SUM(C13:J13)</f>
        <v>4817043723</v>
      </c>
    </row>
    <row r="14" spans="2:11" ht="12.75">
      <c r="B14" s="156" t="s">
        <v>189</v>
      </c>
      <c r="C14" s="155"/>
      <c r="D14" s="155"/>
      <c r="E14" s="155"/>
      <c r="F14" s="155"/>
      <c r="G14" s="155"/>
      <c r="H14" s="155">
        <v>1206857684</v>
      </c>
      <c r="I14" s="155"/>
      <c r="J14" s="155"/>
      <c r="K14" s="155"/>
    </row>
    <row r="15" spans="2:11" ht="12.75">
      <c r="B15" s="156" t="s">
        <v>191</v>
      </c>
      <c r="C15" s="155"/>
      <c r="D15" s="155"/>
      <c r="E15" s="155"/>
      <c r="F15" s="155"/>
      <c r="G15" s="155"/>
      <c r="H15" s="155"/>
      <c r="I15" s="155"/>
      <c r="J15" s="155">
        <f>18063630+180802117</f>
        <v>198865747</v>
      </c>
      <c r="K15" s="155">
        <f>+J15</f>
        <v>198865747</v>
      </c>
    </row>
    <row r="16" spans="2:11" ht="12.75">
      <c r="B16" s="156" t="s">
        <v>192</v>
      </c>
      <c r="C16" s="155"/>
      <c r="D16" s="155"/>
      <c r="E16" s="155"/>
      <c r="F16" s="155"/>
      <c r="G16" s="155"/>
      <c r="H16" s="155"/>
      <c r="I16" s="155"/>
      <c r="J16" s="155">
        <v>216000</v>
      </c>
      <c r="K16" s="155">
        <f>+J16</f>
        <v>216000</v>
      </c>
    </row>
    <row r="17" spans="2:11" ht="12.75">
      <c r="B17" s="156" t="s">
        <v>179</v>
      </c>
      <c r="C17" s="155"/>
      <c r="D17" s="155"/>
      <c r="E17" s="155"/>
      <c r="F17" s="155"/>
      <c r="G17" s="155"/>
      <c r="H17" s="155"/>
      <c r="I17" s="155"/>
      <c r="J17" s="155">
        <v>279967910</v>
      </c>
      <c r="K17" s="155"/>
    </row>
    <row r="18" spans="2:11" ht="12.75">
      <c r="B18" s="156" t="s">
        <v>181</v>
      </c>
      <c r="C18" s="155"/>
      <c r="D18" s="155"/>
      <c r="E18" s="155"/>
      <c r="F18" s="155"/>
      <c r="G18" s="155"/>
      <c r="H18" s="155"/>
      <c r="I18" s="155"/>
      <c r="J18" s="155"/>
      <c r="K18" s="155">
        <f>1347456000+4042260000-1347420000-216000</f>
        <v>4042080000</v>
      </c>
    </row>
    <row r="19" spans="2:11" ht="12.75">
      <c r="B19" s="213" t="s">
        <v>180</v>
      </c>
      <c r="C19" s="214"/>
      <c r="D19" s="214"/>
      <c r="E19" s="214"/>
      <c r="F19" s="214"/>
      <c r="G19" s="214"/>
      <c r="H19" s="214"/>
      <c r="I19" s="214"/>
      <c r="J19" s="214"/>
      <c r="K19" s="214">
        <v>138000000</v>
      </c>
    </row>
    <row r="20" spans="2:11" ht="12.75">
      <c r="B20" s="379" t="s">
        <v>182</v>
      </c>
      <c r="C20" s="177">
        <f>+C7+C8+C9+C12-C18</f>
        <v>22750000000</v>
      </c>
      <c r="D20" s="177">
        <f>+D7+D8+D9+D12-D18</f>
        <v>0</v>
      </c>
      <c r="E20" s="177">
        <f>+'CDKT-page1-2 ok'!E93</f>
        <v>-293000000</v>
      </c>
      <c r="F20" s="177">
        <f>+F7+F8+F9+F12-F18</f>
        <v>0</v>
      </c>
      <c r="G20" s="177">
        <f>+G7+G8+G9+G12-G18</f>
        <v>0</v>
      </c>
      <c r="H20" s="177">
        <f>+H7+H8+H9+H12-H18+H13+H14</f>
        <v>12685321582</v>
      </c>
      <c r="I20" s="177">
        <f>+I7+I8+I9+I12-I18+I13</f>
        <v>1194085761</v>
      </c>
      <c r="J20" s="177">
        <f>+J7+J8+J9+J12-J17-J18+J13+J15+J16</f>
        <v>1849374129</v>
      </c>
      <c r="K20" s="177">
        <f>+K7+K9-K11-K12-K13-K15-K16-K18-K19-K10</f>
        <v>1347420000</v>
      </c>
    </row>
    <row r="21" spans="2:11" ht="12.75">
      <c r="B21" s="380" t="s">
        <v>183</v>
      </c>
      <c r="C21" s="155"/>
      <c r="D21" s="155"/>
      <c r="E21" s="155"/>
      <c r="F21" s="155"/>
      <c r="G21" s="155"/>
      <c r="H21" s="155"/>
      <c r="I21" s="155"/>
      <c r="J21" s="155"/>
      <c r="K21" s="155"/>
    </row>
    <row r="22" spans="2:11" ht="12.75">
      <c r="B22" s="154" t="s">
        <v>184</v>
      </c>
      <c r="C22" s="172">
        <f>+C20</f>
        <v>22750000000</v>
      </c>
      <c r="D22" s="172">
        <f aca="true" t="shared" si="0" ref="D22:K22">+D20</f>
        <v>0</v>
      </c>
      <c r="E22" s="172">
        <f t="shared" si="0"/>
        <v>-293000000</v>
      </c>
      <c r="F22" s="172">
        <f t="shared" si="0"/>
        <v>0</v>
      </c>
      <c r="G22" s="172">
        <f t="shared" si="0"/>
        <v>0</v>
      </c>
      <c r="H22" s="172">
        <f t="shared" si="0"/>
        <v>12685321582</v>
      </c>
      <c r="I22" s="172">
        <f t="shared" si="0"/>
        <v>1194085761</v>
      </c>
      <c r="J22" s="172">
        <f t="shared" si="0"/>
        <v>1849374129</v>
      </c>
      <c r="K22" s="172">
        <f t="shared" si="0"/>
        <v>1347420000</v>
      </c>
    </row>
    <row r="23" spans="2:11" ht="12.75">
      <c r="B23" s="156" t="s">
        <v>307</v>
      </c>
      <c r="C23" s="155">
        <f>+'CDKT-page1-2 ok'!F91-C22</f>
        <v>23944970000</v>
      </c>
      <c r="D23" s="155">
        <f>+'CDKT-page1-2 ok'!F92</f>
        <v>47990911925</v>
      </c>
      <c r="E23" s="155">
        <f>293000000</f>
        <v>293000000</v>
      </c>
      <c r="F23" s="155"/>
      <c r="G23" s="155"/>
      <c r="H23" s="155">
        <v>0</v>
      </c>
      <c r="I23" s="155">
        <v>0</v>
      </c>
      <c r="J23" s="155"/>
      <c r="K23" s="155"/>
    </row>
    <row r="24" spans="2:11" ht="12.75">
      <c r="B24" s="156" t="s">
        <v>308</v>
      </c>
      <c r="C24" s="155">
        <v>0</v>
      </c>
      <c r="D24" s="155"/>
      <c r="E24" s="155"/>
      <c r="F24" s="155"/>
      <c r="G24" s="155"/>
      <c r="H24" s="155">
        <v>0</v>
      </c>
      <c r="I24" s="155"/>
      <c r="J24" s="155"/>
      <c r="K24" s="155">
        <f>+KQKDok!G27</f>
        <v>17310650142</v>
      </c>
    </row>
    <row r="25" spans="2:11" ht="12.75">
      <c r="B25" s="156" t="s">
        <v>681</v>
      </c>
      <c r="C25" s="155"/>
      <c r="D25" s="155"/>
      <c r="E25" s="155"/>
      <c r="F25" s="155"/>
      <c r="G25" s="155"/>
      <c r="H25" s="155"/>
      <c r="I25" s="155"/>
      <c r="J25" s="155"/>
      <c r="K25" s="155">
        <v>2050199839</v>
      </c>
    </row>
    <row r="26" spans="2:11" ht="12.75">
      <c r="B26" s="156" t="s">
        <v>309</v>
      </c>
      <c r="C26" s="155"/>
      <c r="D26" s="155"/>
      <c r="E26" s="155"/>
      <c r="F26" s="155"/>
      <c r="G26" s="155"/>
      <c r="H26" s="155">
        <v>1847847887</v>
      </c>
      <c r="I26" s="155">
        <v>707542761</v>
      </c>
      <c r="J26" s="155">
        <v>1847847888</v>
      </c>
      <c r="K26" s="155">
        <f>SUM(H26:J26)</f>
        <v>4403238536</v>
      </c>
    </row>
    <row r="27" spans="2:11" ht="12.75">
      <c r="B27" s="156" t="s">
        <v>314</v>
      </c>
      <c r="C27" s="155"/>
      <c r="D27" s="155"/>
      <c r="E27" s="155"/>
      <c r="F27" s="155"/>
      <c r="G27" s="155"/>
      <c r="H27" s="155">
        <v>1579897459</v>
      </c>
      <c r="I27" s="155"/>
      <c r="J27" s="155"/>
      <c r="K27" s="155"/>
    </row>
    <row r="28" spans="2:11" ht="12.75">
      <c r="B28" s="156" t="s">
        <v>179</v>
      </c>
      <c r="C28" s="155"/>
      <c r="D28" s="155"/>
      <c r="E28" s="155"/>
      <c r="F28" s="155"/>
      <c r="G28" s="155"/>
      <c r="H28" s="155"/>
      <c r="I28" s="155"/>
      <c r="J28" s="155">
        <f>2827640906-2290000</f>
        <v>2825350906</v>
      </c>
      <c r="K28" s="155"/>
    </row>
    <row r="29" spans="2:11" ht="12.75">
      <c r="B29" s="156" t="s">
        <v>139</v>
      </c>
      <c r="C29" s="155"/>
      <c r="D29" s="155"/>
      <c r="E29" s="155"/>
      <c r="F29" s="155"/>
      <c r="G29" s="155"/>
      <c r="H29" s="155"/>
      <c r="I29" s="155"/>
      <c r="J29" s="155"/>
      <c r="K29" s="155">
        <v>264000000</v>
      </c>
    </row>
    <row r="30" spans="2:11" ht="12.75">
      <c r="B30" s="156" t="s">
        <v>291</v>
      </c>
      <c r="C30" s="155"/>
      <c r="D30" s="155"/>
      <c r="E30" s="155"/>
      <c r="F30" s="155"/>
      <c r="G30" s="155"/>
      <c r="H30" s="155"/>
      <c r="I30" s="155"/>
      <c r="J30" s="155"/>
      <c r="K30" s="155">
        <v>17191134</v>
      </c>
    </row>
    <row r="31" spans="2:11" ht="12.75">
      <c r="B31" s="156" t="s">
        <v>190</v>
      </c>
      <c r="C31" s="155"/>
      <c r="D31" s="155"/>
      <c r="E31" s="155"/>
      <c r="F31" s="155"/>
      <c r="G31" s="155"/>
      <c r="H31" s="155">
        <v>7583330000</v>
      </c>
      <c r="I31" s="155"/>
      <c r="J31" s="155"/>
      <c r="K31" s="155"/>
    </row>
    <row r="32" spans="2:11" ht="12.75">
      <c r="B32" s="156" t="s">
        <v>691</v>
      </c>
      <c r="C32" s="155">
        <v>0</v>
      </c>
      <c r="D32" s="155"/>
      <c r="E32" s="155"/>
      <c r="F32" s="155"/>
      <c r="G32" s="155"/>
      <c r="H32" s="155">
        <v>0</v>
      </c>
      <c r="I32" s="155"/>
      <c r="J32" s="155"/>
      <c r="K32" s="155">
        <f>1361640000+502000+4669437000</f>
        <v>6031579000</v>
      </c>
    </row>
    <row r="33" spans="2:11" ht="12.75">
      <c r="B33" s="379" t="s">
        <v>193</v>
      </c>
      <c r="C33" s="177">
        <f>+C22+C23+C24-C29-C32-C28</f>
        <v>46694970000</v>
      </c>
      <c r="D33" s="177">
        <f>+D22+D23+D24-D29-D32-D28</f>
        <v>47990911925</v>
      </c>
      <c r="E33" s="177">
        <f>+E22+E23+E24-E29-E32-E28</f>
        <v>0</v>
      </c>
      <c r="F33" s="177">
        <f>+F22+F23+F24-F29-F32-F28</f>
        <v>0</v>
      </c>
      <c r="G33" s="177">
        <f>+G22+G23+G24-G29-G32-G28</f>
        <v>0</v>
      </c>
      <c r="H33" s="177">
        <f>+H22+H23+H24-H29-H32-H28+H26+H27-H31</f>
        <v>8529736928</v>
      </c>
      <c r="I33" s="177">
        <f>+I22+I23+I24-I29-I32-I28+I26</f>
        <v>1901628522</v>
      </c>
      <c r="J33" s="177">
        <f>+J22+J23+J24-J29-J32-J28+J26</f>
        <v>871871111</v>
      </c>
      <c r="K33" s="177">
        <f>+K22+K24-K25-K26-K29-K30-K32-KQKDok!G28</f>
        <v>2732066714</v>
      </c>
    </row>
    <row r="34" ht="12.75">
      <c r="K34" s="438"/>
    </row>
  </sheetData>
  <mergeCells count="10">
    <mergeCell ref="J4:J6"/>
    <mergeCell ref="K4:K6"/>
    <mergeCell ref="F4:F6"/>
    <mergeCell ref="G4:G6"/>
    <mergeCell ref="H4:H6"/>
    <mergeCell ref="I4:I6"/>
    <mergeCell ref="B4:B6"/>
    <mergeCell ref="C4:C6"/>
    <mergeCell ref="D4:D6"/>
    <mergeCell ref="E4:E6"/>
  </mergeCells>
  <printOptions/>
  <pageMargins left="0.5" right="0" top="0.5" bottom="0.5" header="0.25" footer="0.25"/>
  <pageSetup horizontalDpi="600" verticalDpi="600" orientation="landscape" paperSize="9" scale="90" r:id="rId1"/>
  <headerFooter alignWithMargins="0">
    <oddFooter>&amp;C&amp;8TMBCTC QUÝ 4/2007&amp;R&amp;8Trang 5/8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Dang Ton</dc:creator>
  <cp:keywords/>
  <dc:description/>
  <cp:lastModifiedBy>HOA</cp:lastModifiedBy>
  <cp:lastPrinted>2008-01-23T03:18:17Z</cp:lastPrinted>
  <dcterms:created xsi:type="dcterms:W3CDTF">2003-05-07T16:09:24Z</dcterms:created>
  <dcterms:modified xsi:type="dcterms:W3CDTF">2008-01-24T09:40:37Z</dcterms:modified>
  <cp:category/>
  <cp:version/>
  <cp:contentType/>
  <cp:contentStatus/>
</cp:coreProperties>
</file>